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D:\KG\KKmaster\RechtsherstelBox3\"/>
    </mc:Choice>
  </mc:AlternateContent>
  <xr:revisionPtr revIDLastSave="0" documentId="8_{CC6ADB53-3212-4393-9A6D-D55E7F555252}" xr6:coauthVersionLast="47" xr6:coauthVersionMax="47" xr10:uidLastSave="{00000000-0000-0000-0000-000000000000}"/>
  <workbookProtection workbookAlgorithmName="SHA-512" workbookHashValue="aRsGpHpbYu7RpHk/QDBQDMvxDoP+zufMaS2As0UsxlOvmHOBUI6Z6f1wQN3YDj9dDfbdgIDR6/194/ZW4w0WwQ==" workbookSaltValue="papd+/AemxmgxWFYeb3R/w==" workbookSpinCount="100000" lockStructure="1"/>
  <bookViews>
    <workbookView xWindow="3800" yWindow="0" windowWidth="19200" windowHeight="21620" xr2:uid="{00000000-000D-0000-FFFF-FFFF00000000}"/>
  </bookViews>
  <sheets>
    <sheet name="Main" sheetId="3" r:id="rId1"/>
    <sheet name="Data" sheetId="2" state="hidden" r:id="rId2"/>
  </sheets>
  <definedNames>
    <definedName name="_xlnm._FilterDatabase" localSheetId="1" hidden="1">Data!$A$1:$P$508</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52" i="3" l="1"/>
  <c r="D14" i="3"/>
  <c r="Q52" i="3"/>
  <c r="Q65" i="3" s="1"/>
  <c r="P52" i="3"/>
  <c r="P65" i="3" s="1"/>
  <c r="Q14" i="3"/>
  <c r="P14" i="3"/>
  <c r="S52" i="3"/>
  <c r="S53" i="3" s="1"/>
  <c r="S14" i="3"/>
  <c r="R52" i="3"/>
  <c r="R53" i="3" s="1"/>
  <c r="R14" i="3"/>
  <c r="D54" i="3" l="1"/>
  <c r="D76" i="3" s="1"/>
  <c r="D74" i="3"/>
  <c r="D55" i="3"/>
  <c r="D68" i="3"/>
  <c r="D59" i="3"/>
  <c r="D60" i="3"/>
  <c r="D72" i="3"/>
  <c r="D73" i="3"/>
  <c r="D53" i="3"/>
  <c r="D65" i="3"/>
  <c r="Q73" i="3"/>
  <c r="P68" i="3"/>
  <c r="Q68" i="3"/>
  <c r="Q55" i="3"/>
  <c r="P59" i="3"/>
  <c r="P73" i="3"/>
  <c r="P54" i="3"/>
  <c r="P55" i="3"/>
  <c r="Q59" i="3"/>
  <c r="Q54" i="3"/>
  <c r="P60" i="3"/>
  <c r="P72" i="3"/>
  <c r="Q60" i="3"/>
  <c r="Q72" i="3"/>
  <c r="P74" i="3"/>
  <c r="Q74" i="3"/>
  <c r="P53" i="3"/>
  <c r="Q53" i="3"/>
  <c r="S60" i="3"/>
  <c r="S55" i="3"/>
  <c r="S59" i="3"/>
  <c r="S65" i="3"/>
  <c r="S68" i="3"/>
  <c r="S72" i="3"/>
  <c r="S73" i="3"/>
  <c r="S74" i="3"/>
  <c r="S54" i="3"/>
  <c r="R68" i="3"/>
  <c r="R55" i="3"/>
  <c r="R59" i="3"/>
  <c r="R65" i="3"/>
  <c r="R54" i="3"/>
  <c r="R60" i="3"/>
  <c r="R72" i="3"/>
  <c r="R73" i="3"/>
  <c r="R74" i="3"/>
  <c r="B74" i="3"/>
  <c r="B73" i="3"/>
  <c r="B72" i="3"/>
  <c r="B71" i="3"/>
  <c r="C69" i="3"/>
  <c r="C66" i="3"/>
  <c r="C63" i="3"/>
  <c r="L52" i="3"/>
  <c r="L69" i="3" s="1"/>
  <c r="K52" i="3"/>
  <c r="K73" i="3" s="1"/>
  <c r="J52" i="3"/>
  <c r="I52" i="3"/>
  <c r="I55" i="3" s="1"/>
  <c r="H52" i="3"/>
  <c r="G52" i="3"/>
  <c r="G53" i="3" s="1"/>
  <c r="F52" i="3"/>
  <c r="F55" i="3" s="1"/>
  <c r="B36" i="3"/>
  <c r="B32" i="3"/>
  <c r="B29" i="3"/>
  <c r="B28" i="3"/>
  <c r="B35" i="3" s="1"/>
  <c r="B27" i="3"/>
  <c r="L14" i="3"/>
  <c r="K14" i="3"/>
  <c r="J14" i="3"/>
  <c r="I14" i="3"/>
  <c r="H14" i="3"/>
  <c r="G14" i="3"/>
  <c r="F14" i="3"/>
  <c r="S76" i="3" l="1"/>
  <c r="R76" i="3"/>
  <c r="P76" i="3"/>
  <c r="Q76" i="3"/>
  <c r="D56" i="3"/>
  <c r="D23" i="3" s="1"/>
  <c r="S56" i="3"/>
  <c r="S27" i="3" s="1"/>
  <c r="Q56" i="3"/>
  <c r="Q27" i="3" s="1"/>
  <c r="P56" i="3"/>
  <c r="P27" i="3" s="1"/>
  <c r="K54" i="3"/>
  <c r="J54" i="3"/>
  <c r="G68" i="3"/>
  <c r="J55" i="3"/>
  <c r="K55" i="3"/>
  <c r="K59" i="3"/>
  <c r="R56" i="3"/>
  <c r="R27" i="3" s="1"/>
  <c r="I53" i="3"/>
  <c r="L59" i="3"/>
  <c r="L63" i="3"/>
  <c r="F68" i="3"/>
  <c r="L73" i="3"/>
  <c r="F72" i="3"/>
  <c r="F74" i="3"/>
  <c r="H68" i="3"/>
  <c r="G72" i="3"/>
  <c r="L53" i="3"/>
  <c r="I68" i="3"/>
  <c r="H74" i="3"/>
  <c r="F54" i="3"/>
  <c r="H60" i="3"/>
  <c r="J68" i="3"/>
  <c r="I72" i="3"/>
  <c r="I74" i="3"/>
  <c r="L65" i="3"/>
  <c r="J53" i="3"/>
  <c r="K53" i="3"/>
  <c r="F60" i="3"/>
  <c r="G74" i="3"/>
  <c r="G60" i="3"/>
  <c r="H72" i="3"/>
  <c r="G54" i="3"/>
  <c r="I60" i="3"/>
  <c r="K68" i="3"/>
  <c r="J72" i="3"/>
  <c r="J74" i="3"/>
  <c r="H53" i="3"/>
  <c r="H54" i="3"/>
  <c r="J60" i="3"/>
  <c r="L68" i="3"/>
  <c r="K72" i="3"/>
  <c r="K74" i="3"/>
  <c r="L55" i="3"/>
  <c r="I54" i="3"/>
  <c r="K60" i="3"/>
  <c r="L66" i="3"/>
  <c r="L72" i="3"/>
  <c r="L74" i="3"/>
  <c r="L60" i="3"/>
  <c r="F65" i="3"/>
  <c r="G55" i="3"/>
  <c r="H59" i="3"/>
  <c r="I65" i="3"/>
  <c r="I73" i="3"/>
  <c r="F73" i="3"/>
  <c r="G59" i="3"/>
  <c r="H65" i="3"/>
  <c r="H73" i="3"/>
  <c r="F53" i="3"/>
  <c r="H55" i="3"/>
  <c r="I59" i="3"/>
  <c r="J65" i="3"/>
  <c r="J73" i="3"/>
  <c r="L54" i="3"/>
  <c r="F59" i="3"/>
  <c r="G65" i="3"/>
  <c r="G73" i="3"/>
  <c r="J59" i="3"/>
  <c r="K65" i="3"/>
  <c r="L176" i="2"/>
  <c r="K176" i="2"/>
  <c r="J176" i="2"/>
  <c r="L175" i="2"/>
  <c r="K175" i="2"/>
  <c r="J175" i="2"/>
  <c r="L174" i="2"/>
  <c r="K174" i="2"/>
  <c r="J174" i="2"/>
  <c r="I176" i="2"/>
  <c r="H176" i="2"/>
  <c r="G69" i="3" s="1"/>
  <c r="I175" i="2"/>
  <c r="H66" i="3" s="1"/>
  <c r="H175" i="2"/>
  <c r="I174" i="2"/>
  <c r="H174" i="2"/>
  <c r="G176" i="2"/>
  <c r="F69" i="3" s="1"/>
  <c r="G175" i="2"/>
  <c r="G174" i="2"/>
  <c r="J76" i="3" l="1"/>
  <c r="L76" i="3"/>
  <c r="H76" i="3"/>
  <c r="F76" i="3"/>
  <c r="K76" i="3"/>
  <c r="G76" i="3"/>
  <c r="I76" i="3"/>
  <c r="H69" i="3"/>
  <c r="F56" i="3"/>
  <c r="F27" i="3" s="1"/>
  <c r="H63" i="3"/>
  <c r="H64" i="3" s="1"/>
  <c r="I63" i="3"/>
  <c r="I64" i="3" s="1"/>
  <c r="I66" i="3"/>
  <c r="I67" i="3" s="1"/>
  <c r="J66" i="3"/>
  <c r="J67" i="3" s="1"/>
  <c r="I69" i="3"/>
  <c r="R63" i="3"/>
  <c r="R64" i="3" s="1"/>
  <c r="S63" i="3"/>
  <c r="S64" i="3" s="1"/>
  <c r="P63" i="3"/>
  <c r="P64" i="3" s="1"/>
  <c r="Q63" i="3"/>
  <c r="Q64" i="3" s="1"/>
  <c r="K63" i="3"/>
  <c r="K64" i="3" s="1"/>
  <c r="D63" i="3"/>
  <c r="D64" i="3" s="1"/>
  <c r="G63" i="3"/>
  <c r="G64" i="3" s="1"/>
  <c r="J63" i="3"/>
  <c r="J64" i="3" s="1"/>
  <c r="Q66" i="3"/>
  <c r="Q67" i="3" s="1"/>
  <c r="R66" i="3"/>
  <c r="R67" i="3" s="1"/>
  <c r="P66" i="3"/>
  <c r="P67" i="3" s="1"/>
  <c r="S66" i="3"/>
  <c r="S67" i="3" s="1"/>
  <c r="D66" i="3"/>
  <c r="D67" i="3" s="1"/>
  <c r="G66" i="3"/>
  <c r="G67" i="3" s="1"/>
  <c r="P69" i="3"/>
  <c r="S69" i="3"/>
  <c r="R69" i="3"/>
  <c r="Q69" i="3"/>
  <c r="F63" i="3"/>
  <c r="F64" i="3" s="1"/>
  <c r="J69" i="3"/>
  <c r="D69" i="3"/>
  <c r="K66" i="3"/>
  <c r="K67" i="3" s="1"/>
  <c r="F66" i="3"/>
  <c r="F67" i="3" s="1"/>
  <c r="K69" i="3"/>
  <c r="S23" i="3"/>
  <c r="S32" i="3" s="1"/>
  <c r="S33" i="3" s="1"/>
  <c r="D27" i="3"/>
  <c r="D32" i="3"/>
  <c r="D33" i="3" s="1"/>
  <c r="Q23" i="3"/>
  <c r="P23" i="3"/>
  <c r="R23" i="3"/>
  <c r="G56" i="3"/>
  <c r="G27" i="3" s="1"/>
  <c r="P35" i="3"/>
  <c r="P36" i="3" s="1"/>
  <c r="Q35" i="3"/>
  <c r="Q36" i="3" s="1"/>
  <c r="K56" i="3"/>
  <c r="K27" i="3" s="1"/>
  <c r="J56" i="3"/>
  <c r="J27" i="3" s="1"/>
  <c r="S35" i="3"/>
  <c r="S36" i="3" s="1"/>
  <c r="R35" i="3"/>
  <c r="R36" i="3" s="1"/>
  <c r="H56" i="3"/>
  <c r="H27" i="3" s="1"/>
  <c r="I56" i="3"/>
  <c r="I23" i="3" s="1"/>
  <c r="L67" i="3"/>
  <c r="L64" i="3"/>
  <c r="L56" i="3"/>
  <c r="H67" i="3"/>
  <c r="A61" i="2"/>
  <c r="D61" i="2"/>
  <c r="D62" i="2" s="1"/>
  <c r="E61" i="2"/>
  <c r="E62" i="2" s="1"/>
  <c r="F61" i="2"/>
  <c r="F62" i="2" s="1"/>
  <c r="A66" i="2"/>
  <c r="A64" i="2" s="1"/>
  <c r="A68" i="2"/>
  <c r="F68" i="2"/>
  <c r="F71" i="2" s="1"/>
  <c r="A71" i="2"/>
  <c r="A75" i="2"/>
  <c r="C205" i="2"/>
  <c r="A203" i="2"/>
  <c r="A199" i="2"/>
  <c r="C197" i="2"/>
  <c r="A195" i="2"/>
  <c r="C192" i="2"/>
  <c r="A190" i="2"/>
  <c r="C188" i="2"/>
  <c r="A186" i="2"/>
  <c r="C173" i="2"/>
  <c r="A171" i="2"/>
  <c r="C170" i="2"/>
  <c r="A168" i="2"/>
  <c r="A160" i="2"/>
  <c r="A155" i="2"/>
  <c r="A149" i="2"/>
  <c r="A142" i="2"/>
  <c r="A135" i="2"/>
  <c r="F17" i="2"/>
  <c r="A12" i="2"/>
  <c r="F11" i="2"/>
  <c r="F12" i="2" s="1"/>
  <c r="F23" i="3" l="1"/>
  <c r="D28" i="3"/>
  <c r="D29" i="3" s="1"/>
  <c r="Q28" i="3"/>
  <c r="Q29" i="3" s="1"/>
  <c r="P24" i="3"/>
  <c r="P25" i="3" s="1"/>
  <c r="R28" i="3"/>
  <c r="R29" i="3" s="1"/>
  <c r="Q24" i="3"/>
  <c r="Q25" i="3" s="1"/>
  <c r="S28" i="3"/>
  <c r="S29" i="3" s="1"/>
  <c r="P28" i="3"/>
  <c r="P29" i="3" s="1"/>
  <c r="R24" i="3"/>
  <c r="R25" i="3" s="1"/>
  <c r="D24" i="3"/>
  <c r="D25" i="3" s="1"/>
  <c r="D42" i="3" s="1"/>
  <c r="C65" i="3"/>
  <c r="C60" i="3"/>
  <c r="C59" i="3"/>
  <c r="C68" i="3"/>
  <c r="G28" i="3"/>
  <c r="G29" i="3" s="1"/>
  <c r="S24" i="3"/>
  <c r="S25" i="3" s="1"/>
  <c r="D35" i="3"/>
  <c r="D36" i="3" s="1"/>
  <c r="G23" i="3"/>
  <c r="G32" i="3" s="1"/>
  <c r="G33" i="3" s="1"/>
  <c r="I24" i="3"/>
  <c r="I25" i="3" s="1"/>
  <c r="R32" i="3"/>
  <c r="R33" i="3" s="1"/>
  <c r="H28" i="3"/>
  <c r="H29" i="3" s="1"/>
  <c r="Q32" i="3"/>
  <c r="Q33" i="3" s="1"/>
  <c r="P32" i="3"/>
  <c r="P33" i="3" s="1"/>
  <c r="I27" i="3"/>
  <c r="I28" i="3" s="1"/>
  <c r="I29" i="3" s="1"/>
  <c r="F28" i="3"/>
  <c r="F29" i="3" s="1"/>
  <c r="J23" i="3"/>
  <c r="J24" i="3" s="1"/>
  <c r="J25" i="3" s="1"/>
  <c r="F24" i="3"/>
  <c r="F25" i="3" s="1"/>
  <c r="K23" i="3"/>
  <c r="K24" i="3" s="1"/>
  <c r="K25" i="3" s="1"/>
  <c r="H23" i="3"/>
  <c r="H24" i="3" s="1"/>
  <c r="H25" i="3" s="1"/>
  <c r="I32" i="3"/>
  <c r="I33" i="3" s="1"/>
  <c r="F35" i="3"/>
  <c r="F36" i="3" s="1"/>
  <c r="F32" i="3"/>
  <c r="F33" i="3" s="1"/>
  <c r="H35" i="3"/>
  <c r="H36" i="3" s="1"/>
  <c r="J28" i="3"/>
  <c r="J29" i="3" s="1"/>
  <c r="J35" i="3"/>
  <c r="J36" i="3" s="1"/>
  <c r="K28" i="3"/>
  <c r="K29" i="3" s="1"/>
  <c r="K35" i="3"/>
  <c r="K36" i="3" s="1"/>
  <c r="G35" i="3"/>
  <c r="G36" i="3" s="1"/>
  <c r="L27" i="3"/>
  <c r="L28" i="3" s="1"/>
  <c r="L29" i="3" s="1"/>
  <c r="L23" i="3"/>
  <c r="L24" i="3" s="1"/>
  <c r="L25" i="3" s="1"/>
  <c r="P42" i="3" l="1"/>
  <c r="Q42" i="3"/>
  <c r="P43" i="3"/>
  <c r="P44" i="3" s="1"/>
  <c r="Q43" i="3"/>
  <c r="Q44" i="3" s="1"/>
  <c r="R42" i="3"/>
  <c r="S42" i="3"/>
  <c r="R43" i="3"/>
  <c r="D43" i="3"/>
  <c r="D44" i="3" s="1"/>
  <c r="S43" i="3"/>
  <c r="S44" i="3" s="1"/>
  <c r="G24" i="3"/>
  <c r="G25" i="3" s="1"/>
  <c r="G42" i="3" s="1"/>
  <c r="F42" i="3"/>
  <c r="I42" i="3"/>
  <c r="F43" i="3"/>
  <c r="I35" i="3"/>
  <c r="I36" i="3" s="1"/>
  <c r="I43" i="3" s="1"/>
  <c r="H42" i="3"/>
  <c r="J32" i="3"/>
  <c r="J33" i="3" s="1"/>
  <c r="J43" i="3" s="1"/>
  <c r="L42" i="3"/>
  <c r="K32" i="3"/>
  <c r="K33" i="3" s="1"/>
  <c r="K43" i="3" s="1"/>
  <c r="L32" i="3"/>
  <c r="L33" i="3" s="1"/>
  <c r="J42" i="3"/>
  <c r="H32" i="3"/>
  <c r="H33" i="3" s="1"/>
  <c r="K42" i="3"/>
  <c r="L35" i="3"/>
  <c r="L36" i="3" s="1"/>
  <c r="R44" i="3" l="1"/>
  <c r="G43" i="3"/>
  <c r="G44" i="3" s="1"/>
  <c r="F44" i="3"/>
  <c r="I44" i="3"/>
  <c r="J44" i="3"/>
  <c r="N42" i="3"/>
  <c r="L43" i="3"/>
  <c r="L44" i="3" s="1"/>
  <c r="H43" i="3"/>
  <c r="H44" i="3" s="1"/>
  <c r="K44" i="3"/>
  <c r="N43" i="3" l="1"/>
  <c r="N44"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RAB</author>
  </authors>
  <commentList>
    <comment ref="F1" authorId="0" shapeId="0" xr:uid="{00000000-0006-0000-0000-000001000000}">
      <text>
        <r>
          <rPr>
            <sz val="9"/>
            <color indexed="81"/>
            <rFont val="Tahoma"/>
            <family val="2"/>
          </rPr>
          <t>Voor de jaren 2021 en 2022 zal de belastingdienst automatisch de voor de belastingplichtige meest voordelige methode kiezen.</t>
        </r>
      </text>
    </comment>
    <comment ref="A2" authorId="0" shapeId="0" xr:uid="{00000000-0006-0000-0000-000002000000}">
      <text>
        <r>
          <rPr>
            <sz val="9"/>
            <color indexed="81"/>
            <rFont val="Tahoma"/>
            <family val="2"/>
          </rPr>
          <t>In de onderstaande rijen wordt aangegeven of de gegevens en/of resultaten betrekking hebben op Partner1 (P1) dan wel Partner2 (P2), of voor de partners tezamen (P12).
In het geval van een alleenstaande wordt alleen P1 gebruikt.</t>
        </r>
      </text>
    </comment>
    <comment ref="B2" authorId="0" shapeId="0" xr:uid="{00000000-0006-0000-0000-000003000000}">
      <text>
        <r>
          <rPr>
            <sz val="9"/>
            <color indexed="81"/>
            <rFont val="Tahoma"/>
            <family val="2"/>
          </rPr>
          <t>De jaren 2015 t/m 2022 kunnen geanalyseerd worden. Voor de jaren 2016 en eerder kan uitsluitend de situatie volgens de oorspronkelijke methodiek bepaald worden. 
De onderliggende data voor 2022 zijn nog niet definitief. In de nieuwe methodiek worden die pas na november definitief bepaald.</t>
        </r>
      </text>
    </comment>
    <comment ref="B4" authorId="0" shapeId="0" xr:uid="{00000000-0006-0000-0000-000004000000}">
      <text>
        <r>
          <rPr>
            <sz val="9"/>
            <color indexed="81"/>
            <rFont val="Tahoma"/>
            <family val="2"/>
          </rPr>
          <t>Als er in het huishouden sprake is van fiscale partners, dan wordt het "voordeel uit sparen en beleggen" toegerekend aan P1 volgens het onderstaand percentage en wordt het complement toegerekend aan P2.
Kies: Ja of Nee, of maak dit veld blank in welk geval een alleenstaande verondersteld wordt.</t>
        </r>
      </text>
    </comment>
    <comment ref="B5" authorId="0" shapeId="0" xr:uid="{00000000-0006-0000-0000-000005000000}">
      <text>
        <r>
          <rPr>
            <sz val="9"/>
            <color indexed="81"/>
            <rFont val="Tahoma"/>
            <family val="2"/>
          </rPr>
          <t>In geval van een paar kunnen posten verdeeld worden over de partners. Omdat hier alleen box 3 beschouwd wordt is een 50/50 verdeling in zowel het oude als het nieuwe systeem in de meeste gevallen het voordeligst.</t>
        </r>
      </text>
    </comment>
    <comment ref="B9" authorId="0" shapeId="0" xr:uid="{00000000-0006-0000-0000-000006000000}">
      <text>
        <r>
          <rPr>
            <sz val="9"/>
            <color indexed="81"/>
            <rFont val="Tahoma"/>
            <family val="2"/>
          </rPr>
          <t>Vul hier het totale bedrag aan groene beleggingen in.
In dat geval moeten dit soort beleggingen ook begrepen zijn in het totaal bedrag aan beleggingen hierboven. Het systeem houdt dan zelf rekening met de maximale vrijstelling voor groene beleggingen.
Indien de groene beleggingen niet dit maximum overstijgen, kunnen zij ook geheel buiten beschouwing gelaten blijven.</t>
        </r>
      </text>
    </comment>
    <comment ref="B10" authorId="0" shapeId="0" xr:uid="{00000000-0006-0000-0000-000007000000}">
      <text>
        <r>
          <rPr>
            <sz val="9"/>
            <color indexed="81"/>
            <rFont val="Tahoma"/>
            <family val="2"/>
          </rPr>
          <t>Vul hier het brutobedrag van de schulden in. Het systeem houdt dan automatisch rekening met het niet aftrekbare bedrag van de schuld op de plaatsen waar dat van toepassing is.</t>
        </r>
      </text>
    </comment>
    <comment ref="B21" authorId="0" shapeId="0" xr:uid="{00000000-0006-0000-0000-000008000000}">
      <text>
        <r>
          <rPr>
            <sz val="9"/>
            <color indexed="81"/>
            <rFont val="Tahoma"/>
            <family val="2"/>
          </rPr>
          <t>Klik op het plusteken helemaal links om de details van de berekeningen te bekijken.</t>
        </r>
      </text>
    </comment>
    <comment ref="B43" authorId="0" shapeId="0" xr:uid="{00000000-0006-0000-0000-000009000000}">
      <text>
        <r>
          <rPr>
            <sz val="9"/>
            <color indexed="81"/>
            <rFont val="Tahoma"/>
            <family val="2"/>
          </rPr>
          <t xml:space="preserve">Voor een paar zal in de nieuwe methodiek voor elke partner afzonderlijk gekeken worden of de oude dan wel de nieuwe methode de laagste belasting oplevert.
De voorbeelden in kolom R en S zijn daar een (subtiel) voorbeeld van. Daar waar bij een 50/50 verdeling voor beide partners de nieuwe methode het gunstigst is, zal bij de verdeling volgens kolom R voor Partner1 de oude methode het voordeligst zijn en voor P@ juist de nieuwe. De som van de belasting voor beide partners komt dan iets lager uit. </t>
        </r>
      </text>
    </comment>
    <comment ref="B44" authorId="0" shapeId="0" xr:uid="{00000000-0006-0000-0000-00000A000000}">
      <text>
        <r>
          <rPr>
            <sz val="9"/>
            <color indexed="81"/>
            <rFont val="Tahoma"/>
            <family val="2"/>
          </rPr>
          <t>Alleen als de nieuwe methodiek op een lager bedrag uitkomt dan de oude methodiek, wordt hier het verschil getoond.</t>
        </r>
      </text>
    </comment>
    <comment ref="B51" authorId="0" shapeId="0" xr:uid="{00000000-0006-0000-0000-00000B000000}">
      <text>
        <r>
          <rPr>
            <sz val="9"/>
            <color indexed="81"/>
            <rFont val="Tahoma"/>
            <family val="2"/>
          </rPr>
          <t>Voor de onderliggende data wordt een deel van het al langer bestaand systeem voor bruto/netto berekeningen gebruikt.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RAB</author>
  </authors>
  <commentList>
    <comment ref="B18" authorId="0" shapeId="0" xr:uid="{00000000-0006-0000-0100-000001000000}">
      <text>
        <r>
          <rPr>
            <sz val="9"/>
            <color indexed="81"/>
            <rFont val="Tahoma"/>
            <family val="2"/>
          </rPr>
          <t xml:space="preserve">Het is niet helemaal duidelijk hoe de </t>
        </r>
        <r>
          <rPr>
            <b/>
            <sz val="9"/>
            <color indexed="81"/>
            <rFont val="Tahoma"/>
            <family val="2"/>
          </rPr>
          <t>verwachting</t>
        </r>
        <r>
          <rPr>
            <sz val="9"/>
            <color indexed="81"/>
            <rFont val="Tahoma"/>
            <family val="2"/>
          </rPr>
          <t xml:space="preserve"> volgens dit artikel berekend wordt.</t>
        </r>
      </text>
    </comment>
    <comment ref="B62" authorId="0" shapeId="0" xr:uid="{00000000-0006-0000-0100-000002000000}">
      <text>
        <r>
          <rPr>
            <sz val="9"/>
            <color indexed="81"/>
            <rFont val="Tahoma"/>
            <family val="2"/>
          </rPr>
          <t>Hoewel de wet en het belastingplan deze bedragen vermelden, kunnen deze uit de betreffende ondergrenzen en percentages berekend worden.</t>
        </r>
      </text>
    </comment>
    <comment ref="F62" authorId="0" shapeId="0" xr:uid="{00000000-0006-0000-0100-000003000000}">
      <text>
        <r>
          <rPr>
            <b/>
            <sz val="9"/>
            <color indexed="81"/>
            <rFont val="Tahoma"/>
            <family val="2"/>
          </rPr>
          <t>RAB:</t>
        </r>
        <r>
          <rPr>
            <sz val="9"/>
            <color indexed="81"/>
            <rFont val="Tahoma"/>
            <family val="2"/>
          </rPr>
          <t xml:space="preserve">
Getal in tabel belastinglan Wordt aangepast cf Art LIII van het belastingplan</t>
        </r>
      </text>
    </comment>
    <comment ref="F68" authorId="0" shapeId="0" xr:uid="{00000000-0006-0000-0100-000004000000}">
      <text>
        <r>
          <rPr>
            <sz val="9"/>
            <color indexed="81"/>
            <rFont val="Tahoma"/>
            <family val="2"/>
          </rPr>
          <t>Formule aangepast ivm samensmelten twee eerste schijven</t>
        </r>
      </text>
    </comment>
    <comment ref="G68" authorId="0" shapeId="0" xr:uid="{00000000-0006-0000-0100-000005000000}">
      <text>
        <r>
          <rPr>
            <sz val="9"/>
            <color indexed="81"/>
            <rFont val="Tahoma"/>
            <family val="2"/>
          </rPr>
          <t>Formule aangepast ivm samensmelten twee eerste schijven</t>
        </r>
      </text>
    </comment>
    <comment ref="H68" authorId="0" shapeId="0" xr:uid="{00000000-0006-0000-0100-000006000000}">
      <text>
        <r>
          <rPr>
            <sz val="9"/>
            <color indexed="81"/>
            <rFont val="Tahoma"/>
            <family val="2"/>
          </rPr>
          <t>Formule aangepast ivm samensmelten twee eerste schijven</t>
        </r>
      </text>
    </comment>
    <comment ref="I68" authorId="0" shapeId="0" xr:uid="{00000000-0006-0000-0100-000007000000}">
      <text>
        <r>
          <rPr>
            <sz val="9"/>
            <color indexed="81"/>
            <rFont val="Tahoma"/>
            <family val="2"/>
          </rPr>
          <t>Formule aangepast ivm samensmelten twee eerste schijven</t>
        </r>
      </text>
    </comment>
    <comment ref="I69" authorId="0" shapeId="0" xr:uid="{00000000-0006-0000-0100-000008000000}">
      <text>
        <r>
          <rPr>
            <sz val="9"/>
            <color indexed="81"/>
            <rFont val="Tahoma"/>
            <family val="2"/>
          </rPr>
          <t>Hier lijkt een rekenfout in het belastingplan te zitten.</t>
        </r>
      </text>
    </comment>
    <comment ref="I72" authorId="0" shapeId="0" xr:uid="{00000000-0006-0000-0100-000009000000}">
      <text>
        <r>
          <rPr>
            <sz val="9"/>
            <color indexed="81"/>
            <rFont val="Tahoma"/>
            <family val="2"/>
          </rPr>
          <t>Hier lijkt een rekenfout in het belastingplan te zitten.</t>
        </r>
      </text>
    </comment>
    <comment ref="L135" authorId="0" shapeId="0" xr:uid="{00000000-0006-0000-0100-00000A000000}">
      <text>
        <r>
          <rPr>
            <sz val="9"/>
            <color indexed="81"/>
            <rFont val="Tahoma"/>
            <family val="2"/>
          </rPr>
          <t>Was bij introductie van de regeling anders gedefinieerd.</t>
        </r>
      </text>
    </comment>
    <comment ref="M144" authorId="0" shapeId="0" xr:uid="{00000000-0006-0000-0100-00000B000000}">
      <text>
        <r>
          <rPr>
            <sz val="9"/>
            <color indexed="81"/>
            <rFont val="Tahoma"/>
            <family val="2"/>
          </rPr>
          <t xml:space="preserve">
Zie belastingplan 2016, incl MvT</t>
        </r>
      </text>
    </comment>
    <comment ref="M151" authorId="0" shapeId="0" xr:uid="{00000000-0006-0000-0100-00000C000000}">
      <text>
        <r>
          <rPr>
            <sz val="9"/>
            <color indexed="81"/>
            <rFont val="Tahoma"/>
            <family val="2"/>
          </rPr>
          <t xml:space="preserve">
Zie belastingplan 2016, incl MvT</t>
        </r>
      </text>
    </comment>
    <comment ref="M157" authorId="0" shapeId="0" xr:uid="{00000000-0006-0000-0100-00000D000000}">
      <text>
        <r>
          <rPr>
            <sz val="9"/>
            <color indexed="81"/>
            <rFont val="Tahoma"/>
            <family val="2"/>
          </rPr>
          <t xml:space="preserve">
Zie belastingplan 2016, incl MvT</t>
        </r>
      </text>
    </comment>
    <comment ref="J162" authorId="0" shapeId="0" xr:uid="{00000000-0006-0000-0100-00000E000000}">
      <text>
        <r>
          <rPr>
            <sz val="9"/>
            <color indexed="81"/>
            <rFont val="Tahoma"/>
            <family val="2"/>
          </rPr>
          <t>Dit is % zoals gehanteerd door belastingdienst. De wet IB vermeldt 5,6%.</t>
        </r>
      </text>
    </comment>
  </commentList>
</comments>
</file>

<file path=xl/sharedStrings.xml><?xml version="1.0" encoding="utf-8"?>
<sst xmlns="http://schemas.openxmlformats.org/spreadsheetml/2006/main" count="214" uniqueCount="123">
  <si>
    <t>Inputgegevens</t>
  </si>
  <si>
    <t>Analysejaar</t>
  </si>
  <si>
    <t>Fiscaal partner</t>
  </si>
  <si>
    <t>Nee</t>
  </si>
  <si>
    <t>P1</t>
  </si>
  <si>
    <t>Toedeling aan P1</t>
  </si>
  <si>
    <t>P12</t>
  </si>
  <si>
    <t>Spaartegoeden</t>
  </si>
  <si>
    <t>Beleggingen</t>
  </si>
  <si>
    <t>Schulden</t>
  </si>
  <si>
    <t>Saldo spaartegoeden en beleggingen</t>
  </si>
  <si>
    <t>Grondslag (toegedeeld)</t>
  </si>
  <si>
    <t>Voordeel uit sparen en beleggen</t>
  </si>
  <si>
    <t>Inkomstenbelasting Box 3</t>
  </si>
  <si>
    <t>P2</t>
  </si>
  <si>
    <t>Totaal vlgs oorspronkelijke methodiek</t>
  </si>
  <si>
    <t>Verschil (potentiele besparing)</t>
  </si>
  <si>
    <t>Onderliggende data</t>
  </si>
  <si>
    <t>Data column index</t>
  </si>
  <si>
    <t>Vrijstelling groene beleggingen</t>
  </si>
  <si>
    <t>Niet aftrekbare schulden</t>
  </si>
  <si>
    <t>Heffingsvrij vermogen</t>
  </si>
  <si>
    <t>Grondslag sparen en beleggen</t>
  </si>
  <si>
    <t>Data vlgs oorspronkelijke systematiek</t>
  </si>
  <si>
    <t>Voordeel sparen/bel. Klasse I</t>
  </si>
  <si>
    <t>Voordeel sparen/bel. Klasse II</t>
  </si>
  <si>
    <t>IB3-Grens1</t>
  </si>
  <si>
    <t>IB3-Perc1</t>
  </si>
  <si>
    <t>IB3-Max1</t>
  </si>
  <si>
    <t>berekend</t>
  </si>
  <si>
    <t>IB3-Grens2</t>
  </si>
  <si>
    <t>IB3-Perc2</t>
  </si>
  <si>
    <t>IB3-Max2</t>
  </si>
  <si>
    <t>IB3-Grens3</t>
  </si>
  <si>
    <t>IB3-Perc3</t>
  </si>
  <si>
    <t>WRB3 - art. 3.3</t>
  </si>
  <si>
    <t>Effectief rendement</t>
  </si>
  <si>
    <t>Bron</t>
  </si>
  <si>
    <t>Indexatie cf.</t>
  </si>
  <si>
    <t>HICP in jaar</t>
  </si>
  <si>
    <t>CPI in jaar</t>
  </si>
  <si>
    <t>CPI afgeleid in jaar</t>
  </si>
  <si>
    <t>CPI afgeleid in juli (+12 mnd)</t>
  </si>
  <si>
    <t>Tabelcorrectiefactor</t>
  </si>
  <si>
    <t>WIB 2001 - art. 10.1.1</t>
  </si>
  <si>
    <t>WIB 2001 - art. 10.1.2</t>
  </si>
  <si>
    <t>CPI in juli (+12 mnd)</t>
  </si>
  <si>
    <t>CPI huren in juli (+12 mnd)</t>
  </si>
  <si>
    <t>Correctiefactor voor huurtoeslag</t>
  </si>
  <si>
    <t>WHT - art. 27.1</t>
  </si>
  <si>
    <t>Gem. huurverhoging (per 1 jul)</t>
  </si>
  <si>
    <t>WHT - art. 27.3</t>
  </si>
  <si>
    <t>Inkomensondersteuning pp</t>
  </si>
  <si>
    <t>WHT - art. 14.2</t>
  </si>
  <si>
    <t>Minimumloon eerste helft jaar</t>
  </si>
  <si>
    <t>Rownum AOWdata</t>
  </si>
  <si>
    <t>IB1-Max3</t>
  </si>
  <si>
    <t>WIB 2001 - art. 2.10.1</t>
  </si>
  <si>
    <t>Beleidsaapssing</t>
  </si>
  <si>
    <t>WIB 2001 - art. 2.10a.1</t>
  </si>
  <si>
    <t>IB1-Max2&lt;1946</t>
  </si>
  <si>
    <t>IB1-Max3&lt;1946</t>
  </si>
  <si>
    <t>IB1-Verhoging/verlaging</t>
  </si>
  <si>
    <t>WIB 2001 - art. 10.2a</t>
  </si>
  <si>
    <t>IB1-AanpEigenWoning</t>
  </si>
  <si>
    <t>WIB 2001 - art. 2.10.2</t>
  </si>
  <si>
    <t>Input: voordeel uit sparen &amp; beleggen</t>
  </si>
  <si>
    <t>BelastingPerc</t>
  </si>
  <si>
    <t>WIB 2001 - art. 2.13</t>
  </si>
  <si>
    <t>Box 3 Berekening voordeel uit sparen &amp; beleggen</t>
  </si>
  <si>
    <t>Afleiding parms rendementklasse I</t>
  </si>
  <si>
    <t>Rendement deposito's 3 mnd</t>
  </si>
  <si>
    <t>WIB - art. 10.6ter.2</t>
  </si>
  <si>
    <t>WIB 2001 - art. 5.2.1</t>
  </si>
  <si>
    <t>Afleiding parms rendementklasse II</t>
  </si>
  <si>
    <t>Index woningprijzen</t>
  </si>
  <si>
    <t>CBS</t>
  </si>
  <si>
    <t>Rendement koopwoningen</t>
  </si>
  <si>
    <t>WIB - art. 10.6ter.4</t>
  </si>
  <si>
    <t>Beleidsaanpassing</t>
  </si>
  <si>
    <t>LT rendement onroerend goed</t>
  </si>
  <si>
    <t>Gewicht</t>
  </si>
  <si>
    <t>MSCI per ultimo jaar</t>
  </si>
  <si>
    <t>MSCI</t>
  </si>
  <si>
    <t>Rendement aandelen</t>
  </si>
  <si>
    <t>LT rendement aandelen</t>
  </si>
  <si>
    <t>WIB - art. 10.6ter.5</t>
  </si>
  <si>
    <t>Jongste 10-jarige staatslening</t>
  </si>
  <si>
    <t>DNB</t>
  </si>
  <si>
    <t>LT rendement obligaties</t>
  </si>
  <si>
    <t>WIB - art. 10.6ter.3</t>
  </si>
  <si>
    <t>Schijventarief klasse II</t>
  </si>
  <si>
    <t>Toerekening klasse II schijf 1</t>
  </si>
  <si>
    <t>Toerekening klasse II schijf 2</t>
  </si>
  <si>
    <t>Toerekening klasse II schijf 3</t>
  </si>
  <si>
    <t>Wet rechtsherstel box 3</t>
  </si>
  <si>
    <t>Banktegoeden</t>
  </si>
  <si>
    <t>Overige bezittingen</t>
  </si>
  <si>
    <t>Box 3 Rekenmethode/Vrijstellingen</t>
  </si>
  <si>
    <t>Middeling primo/ultimo</t>
  </si>
  <si>
    <t>Niet aftrekbare schulden per persoon</t>
  </si>
  <si>
    <t>WIB 2001 - art. 5.3.3</t>
  </si>
  <si>
    <t>WIB 2001 - art. 5.5.1</t>
  </si>
  <si>
    <t>Minderjarige kinderen</t>
  </si>
  <si>
    <t>WIB 2001 - art. 5.5.3</t>
  </si>
  <si>
    <t>Vrijstelling maatschappelijke beleggingen</t>
  </si>
  <si>
    <t>WIB 2001 - art. 5.13</t>
  </si>
  <si>
    <t>Vrijstelling beleggingen in durfkapitaal</t>
  </si>
  <si>
    <t>WIB 2001 - art. 5.16</t>
  </si>
  <si>
    <t>Levensverzekering (uitvaart)</t>
  </si>
  <si>
    <t>WIB 2001 - art. 5.10.a</t>
  </si>
  <si>
    <t>Belasting box 3</t>
  </si>
  <si>
    <t>Berekeningen</t>
  </si>
  <si>
    <t>Volgens nieuwe methodiek</t>
  </si>
  <si>
    <t>Ja</t>
  </si>
  <si>
    <r>
      <rPr>
        <b/>
        <sz val="8"/>
        <rFont val="Arial"/>
        <family val="2"/>
      </rPr>
      <t>waarvan</t>
    </r>
    <r>
      <rPr>
        <sz val="8"/>
        <rFont val="Arial"/>
        <family val="2"/>
      </rPr>
      <t xml:space="preserve"> in groene beleggingen</t>
    </r>
  </si>
  <si>
    <t>Voorbeelden vlgs BWBR0046829 (overheid.nl)</t>
  </si>
  <si>
    <t>Jaren (eventueel) vatbaar voor bezwaar</t>
  </si>
  <si>
    <t>Auto optimalisatie</t>
  </si>
  <si>
    <t>P1/2</t>
  </si>
  <si>
    <t>Volgens oorspronkelijk methodiek</t>
  </si>
  <si>
    <t>Totaal vlgs nieuwe methodiek</t>
  </si>
  <si>
    <t>Totaal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</si>
</sst>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 #,##0;\−\ #,##0;0"/>
    <numFmt numFmtId="165" formatCode="\+\ 0.00%;\−\ 0.00%;0"/>
    <numFmt numFmtId="166" formatCode="0.0"/>
    <numFmt numFmtId="167" formatCode="0.000%"/>
    <numFmt numFmtId="168" formatCode="_-[$€]\ * #,##0.00_-;_-[$€]\ * #,##0.00\-;_-[$€]\ * &quot;-&quot;??_-;_-@_-"/>
    <numFmt numFmtId="169" formatCode="_-* #,##0.00_-;_-* #,##0.00\-;_-* &quot;-&quot;??_-;_-@_-"/>
  </numFmts>
  <fonts count="36">
    <font>
      <sz val="10"/>
      <name val="Arial"/>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0"/>
      <name val="Arial"/>
      <family val="2"/>
    </font>
    <font>
      <sz val="8"/>
      <name val="Arial"/>
      <family val="2"/>
    </font>
    <font>
      <sz val="10"/>
      <color theme="1"/>
      <name val="Arial"/>
      <family val="2"/>
    </font>
    <font>
      <sz val="9"/>
      <color indexed="81"/>
      <name val="Tahoma"/>
      <family val="2"/>
    </font>
    <font>
      <sz val="10"/>
      <color rgb="FF0000FF"/>
      <name val="Arial"/>
      <family val="2"/>
    </font>
    <font>
      <sz val="8"/>
      <color rgb="FF0000FF"/>
      <name val="Arial"/>
      <family val="2"/>
    </font>
    <font>
      <sz val="8"/>
      <color rgb="FFFF0000"/>
      <name val="Arial"/>
      <family val="2"/>
    </font>
    <font>
      <b/>
      <sz val="8"/>
      <name val="Arial"/>
      <family val="2"/>
    </font>
    <font>
      <u/>
      <sz val="10"/>
      <color theme="10"/>
      <name val="Arial"/>
      <family val="2"/>
    </font>
    <font>
      <u/>
      <sz val="10"/>
      <name val="Arial"/>
      <family val="2"/>
    </font>
    <font>
      <b/>
      <sz val="9"/>
      <color indexed="81"/>
      <name val="Tahoma"/>
      <family val="2"/>
    </font>
    <font>
      <u/>
      <sz val="11"/>
      <color theme="10"/>
      <name val="Calibri"/>
      <family val="2"/>
      <scheme val="minor"/>
    </font>
    <font>
      <sz val="11"/>
      <color indexed="8"/>
      <name val="Calibri"/>
      <family val="2"/>
    </font>
    <font>
      <sz val="10"/>
      <color rgb="FF9C5700"/>
      <name val="Arial"/>
      <family val="2"/>
    </font>
    <font>
      <sz val="11"/>
      <color indexed="8"/>
      <name val="Calibri"/>
      <family val="2"/>
      <scheme val="minor"/>
    </font>
    <font>
      <sz val="18"/>
      <color theme="3"/>
      <name val="Cambria"/>
      <family val="2"/>
      <scheme val="major"/>
    </font>
    <font>
      <sz val="9"/>
      <name val="Arial"/>
      <family val="2"/>
    </font>
    <font>
      <b/>
      <sz val="9"/>
      <name val="Arial"/>
      <family val="2"/>
    </font>
  </fonts>
  <fills count="4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39994506668294322"/>
        <bgColor indexed="64"/>
      </patternFill>
    </fill>
    <fill>
      <patternFill patternType="solid">
        <fgColor theme="6" tint="0.39997558519241921"/>
        <bgColor indexed="64"/>
      </patternFill>
    </fill>
    <fill>
      <patternFill patternType="solid">
        <fgColor theme="4" tint="0.79998168889431442"/>
        <bgColor indexed="64"/>
      </patternFill>
    </fill>
    <fill>
      <patternFill patternType="lightGray">
        <fgColor theme="4"/>
        <bgColor theme="4" tint="0.79995117038483843"/>
      </patternFill>
    </fill>
    <fill>
      <patternFill patternType="solid">
        <fgColor theme="0"/>
        <bgColor indexed="64"/>
      </patternFill>
    </fill>
    <fill>
      <patternFill patternType="solid">
        <fgColor rgb="FFFFFF99"/>
        <bgColor indexed="64"/>
      </patternFill>
    </fill>
    <fill>
      <patternFill patternType="solid">
        <fgColor theme="2" tint="-0.249977111117893"/>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2" tint="-9.9948118533890809E-2"/>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style="thin">
        <color theme="0"/>
      </top>
      <bottom style="thin">
        <color theme="0"/>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right/>
      <top style="thin">
        <color theme="0"/>
      </top>
      <bottom/>
      <diagonal/>
    </border>
    <border>
      <left/>
      <right/>
      <top style="medium">
        <color auto="1"/>
      </top>
      <bottom/>
      <diagonal/>
    </border>
    <border>
      <left/>
      <right/>
      <top/>
      <bottom style="thin">
        <color theme="0" tint="-4.9989318521683403E-2"/>
      </bottom>
      <diagonal/>
    </border>
  </borders>
  <cellStyleXfs count="225">
    <xf numFmtId="0" fontId="0" fillId="0" borderId="0"/>
    <xf numFmtId="0" fontId="17" fillId="0" borderId="0"/>
    <xf numFmtId="0" fontId="20" fillId="0" borderId="0"/>
    <xf numFmtId="0" fontId="20" fillId="0" borderId="0"/>
    <xf numFmtId="0" fontId="26" fillId="0" borderId="0" applyNumberFormat="0" applyFill="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1" fillId="10"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1" fillId="14"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1" fillId="18"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1" fillId="22"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1" fillId="26"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1" fillId="30"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1" fillId="11"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1" fillId="15"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1" fillId="19"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1" fillId="23"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1" fillId="27"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1" fillId="31" borderId="0" applyNumberFormat="0" applyBorder="0" applyAlignment="0" applyProtection="0"/>
    <xf numFmtId="0" fontId="20" fillId="12" borderId="0" applyNumberFormat="0" applyBorder="0" applyAlignment="0" applyProtection="0"/>
    <xf numFmtId="0" fontId="16" fillId="12" borderId="0" applyNumberFormat="0" applyBorder="0" applyAlignment="0" applyProtection="0"/>
    <xf numFmtId="0" fontId="20" fillId="16" borderId="0" applyNumberFormat="0" applyBorder="0" applyAlignment="0" applyProtection="0"/>
    <xf numFmtId="0" fontId="16" fillId="16" borderId="0" applyNumberFormat="0" applyBorder="0" applyAlignment="0" applyProtection="0"/>
    <xf numFmtId="0" fontId="20" fillId="20" borderId="0" applyNumberFormat="0" applyBorder="0" applyAlignment="0" applyProtection="0"/>
    <xf numFmtId="0" fontId="16" fillId="20" borderId="0" applyNumberFormat="0" applyBorder="0" applyAlignment="0" applyProtection="0"/>
    <xf numFmtId="0" fontId="20" fillId="24" borderId="0" applyNumberFormat="0" applyBorder="0" applyAlignment="0" applyProtection="0"/>
    <xf numFmtId="0" fontId="16" fillId="24" borderId="0" applyNumberFormat="0" applyBorder="0" applyAlignment="0" applyProtection="0"/>
    <xf numFmtId="0" fontId="20" fillId="28" borderId="0" applyNumberFormat="0" applyBorder="0" applyAlignment="0" applyProtection="0"/>
    <xf numFmtId="0" fontId="16" fillId="28" borderId="0" applyNumberFormat="0" applyBorder="0" applyAlignment="0" applyProtection="0"/>
    <xf numFmtId="0" fontId="20" fillId="32" borderId="0" applyNumberFormat="0" applyBorder="0" applyAlignment="0" applyProtection="0"/>
    <xf numFmtId="0" fontId="16" fillId="32" borderId="0" applyNumberFormat="0" applyBorder="0" applyAlignment="0" applyProtection="0"/>
    <xf numFmtId="0" fontId="16" fillId="9"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6" fillId="3" borderId="0" applyNumberFormat="0" applyBorder="0" applyAlignment="0" applyProtection="0"/>
    <xf numFmtId="0" fontId="10" fillId="6" borderId="4" applyNumberFormat="0" applyAlignment="0" applyProtection="0"/>
    <xf numFmtId="0" fontId="12" fillId="7" borderId="7" applyNumberFormat="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0" fontId="14" fillId="0" borderId="0" applyNumberFormat="0" applyFill="0" applyBorder="0" applyAlignment="0" applyProtection="0"/>
    <xf numFmtId="0" fontId="5" fillId="2" borderId="0" applyNumberFormat="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29" fillId="0" borderId="0" applyNumberFormat="0" applyFill="0" applyBorder="0" applyAlignment="0" applyProtection="0"/>
    <xf numFmtId="0" fontId="8" fillId="5" borderId="4" applyNumberFormat="0" applyAlignment="0" applyProtection="0"/>
    <xf numFmtId="169" fontId="30" fillId="0" borderId="0" applyFont="0" applyFill="0" applyBorder="0" applyAlignment="0" applyProtection="0"/>
    <xf numFmtId="0" fontId="11" fillId="0" borderId="6" applyNumberFormat="0" applyFill="0" applyAlignment="0" applyProtection="0"/>
    <xf numFmtId="0" fontId="31" fillId="4" borderId="0" applyNumberFormat="0" applyBorder="0" applyAlignment="0" applyProtection="0"/>
    <xf numFmtId="0" fontId="7" fillId="4" borderId="0" applyNumberFormat="0" applyBorder="0" applyAlignment="0" applyProtection="0"/>
    <xf numFmtId="0" fontId="20"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20" fillId="0" borderId="0"/>
    <xf numFmtId="0" fontId="20"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20" fillId="0" borderId="0"/>
    <xf numFmtId="0" fontId="20" fillId="0" borderId="0"/>
    <xf numFmtId="0" fontId="17" fillId="0" borderId="0"/>
    <xf numFmtId="0" fontId="17" fillId="0" borderId="0"/>
    <xf numFmtId="0" fontId="17" fillId="0" borderId="0"/>
    <xf numFmtId="0" fontId="17" fillId="0" borderId="0"/>
    <xf numFmtId="0" fontId="20" fillId="0" borderId="0"/>
    <xf numFmtId="0" fontId="20" fillId="0" borderId="0"/>
    <xf numFmtId="0" fontId="20" fillId="0" borderId="0"/>
    <xf numFmtId="0" fontId="20" fillId="0" borderId="0"/>
    <xf numFmtId="0" fontId="20" fillId="0" borderId="0"/>
    <xf numFmtId="0" fontId="20"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20" fillId="0" borderId="0"/>
    <xf numFmtId="0" fontId="20" fillId="0" borderId="0"/>
    <xf numFmtId="0" fontId="20" fillId="0" borderId="0"/>
    <xf numFmtId="0" fontId="17" fillId="0" borderId="0"/>
    <xf numFmtId="0" fontId="17" fillId="0" borderId="0"/>
    <xf numFmtId="0" fontId="17" fillId="0" borderId="0"/>
    <xf numFmtId="0" fontId="32" fillId="0" borderId="0"/>
    <xf numFmtId="0" fontId="1" fillId="0" borderId="0"/>
    <xf numFmtId="0" fontId="20" fillId="0" borderId="0"/>
    <xf numFmtId="0" fontId="20"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9" fillId="6" borderId="5" applyNumberFormat="0" applyAlignment="0" applyProtection="0"/>
    <xf numFmtId="9" fontId="30" fillId="0" borderId="0" applyFont="0" applyFill="0" applyBorder="0" applyAlignment="0" applyProtection="0"/>
    <xf numFmtId="0" fontId="33" fillId="0" borderId="0" applyNumberFormat="0" applyFill="0" applyBorder="0" applyAlignment="0" applyProtection="0"/>
    <xf numFmtId="0" fontId="15" fillId="0" borderId="9" applyNumberFormat="0" applyFill="0" applyAlignment="0" applyProtection="0"/>
    <xf numFmtId="0" fontId="13" fillId="0" borderId="0" applyNumberFormat="0" applyFill="0" applyBorder="0" applyAlignment="0" applyProtection="0"/>
  </cellStyleXfs>
  <cellXfs count="166">
    <xf numFmtId="0" fontId="0" fillId="0" borderId="0" xfId="0"/>
    <xf numFmtId="0" fontId="17" fillId="0" borderId="0" xfId="1" applyFont="1" applyFill="1" applyAlignment="1"/>
    <xf numFmtId="0" fontId="18" fillId="0" borderId="0" xfId="1" applyFont="1"/>
    <xf numFmtId="0" fontId="19" fillId="0" borderId="0" xfId="1" applyFont="1" applyFill="1"/>
    <xf numFmtId="0" fontId="17" fillId="0" borderId="0" xfId="1" applyFont="1"/>
    <xf numFmtId="0" fontId="17" fillId="0" borderId="0" xfId="0" applyFont="1"/>
    <xf numFmtId="0" fontId="17" fillId="0" borderId="0" xfId="0" applyFont="1" applyFill="1"/>
    <xf numFmtId="3" fontId="17" fillId="33" borderId="10" xfId="1" applyNumberFormat="1" applyFont="1" applyFill="1" applyBorder="1" applyAlignment="1"/>
    <xf numFmtId="0" fontId="17" fillId="33" borderId="11" xfId="1" applyFont="1" applyFill="1" applyBorder="1" applyAlignment="1" applyProtection="1">
      <alignment horizontal="center"/>
    </xf>
    <xf numFmtId="9" fontId="17" fillId="34" borderId="12" xfId="1" applyNumberFormat="1" applyFont="1" applyFill="1" applyBorder="1" applyAlignment="1">
      <alignment horizontal="center"/>
    </xf>
    <xf numFmtId="3" fontId="17" fillId="0" borderId="0" xfId="1" applyNumberFormat="1" applyFont="1" applyFill="1" applyAlignment="1"/>
    <xf numFmtId="3" fontId="19" fillId="0" borderId="0" xfId="1" applyNumberFormat="1" applyFont="1" applyFill="1" applyAlignment="1"/>
    <xf numFmtId="3" fontId="17" fillId="34" borderId="10" xfId="2" applyNumberFormat="1" applyFont="1" applyFill="1" applyBorder="1" applyAlignment="1"/>
    <xf numFmtId="3" fontId="17" fillId="0" borderId="0" xfId="1" applyNumberFormat="1" applyFont="1" applyAlignment="1"/>
    <xf numFmtId="3" fontId="19" fillId="33" borderId="10" xfId="1" quotePrefix="1" applyNumberFormat="1" applyFont="1" applyFill="1" applyBorder="1" applyAlignment="1">
      <alignment horizontal="left" indent="1"/>
    </xf>
    <xf numFmtId="3" fontId="19" fillId="0" borderId="0" xfId="1" quotePrefix="1" applyNumberFormat="1" applyFont="1" applyFill="1" applyAlignment="1">
      <alignment horizontal="left" indent="1"/>
    </xf>
    <xf numFmtId="3" fontId="19" fillId="34" borderId="10" xfId="2" applyNumberFormat="1" applyFont="1" applyFill="1" applyBorder="1" applyAlignment="1"/>
    <xf numFmtId="3" fontId="19" fillId="0" borderId="0" xfId="1" applyNumberFormat="1" applyFont="1" applyAlignment="1"/>
    <xf numFmtId="3" fontId="17" fillId="33" borderId="10" xfId="1" quotePrefix="1" applyNumberFormat="1" applyFont="1" applyFill="1" applyBorder="1" applyAlignment="1">
      <alignment horizontal="left"/>
    </xf>
    <xf numFmtId="3" fontId="19" fillId="0" borderId="0" xfId="1" quotePrefix="1" applyNumberFormat="1" applyFont="1" applyFill="1" applyAlignment="1">
      <alignment horizontal="left"/>
    </xf>
    <xf numFmtId="3" fontId="17" fillId="0" borderId="13" xfId="0" applyNumberFormat="1" applyFont="1" applyBorder="1"/>
    <xf numFmtId="9" fontId="17" fillId="0" borderId="0" xfId="1" applyNumberFormat="1" applyFont="1" applyFill="1" applyAlignment="1"/>
    <xf numFmtId="0" fontId="17" fillId="0" borderId="0" xfId="1" applyNumberFormat="1" applyFont="1" applyAlignment="1"/>
    <xf numFmtId="0" fontId="17" fillId="0" borderId="0" xfId="1" applyNumberFormat="1" applyFont="1" applyFill="1" applyAlignment="1"/>
    <xf numFmtId="0" fontId="17" fillId="0" borderId="0" xfId="1" applyFont="1" applyAlignment="1"/>
    <xf numFmtId="0" fontId="19" fillId="0" borderId="0" xfId="1" applyNumberFormat="1" applyFont="1" applyFill="1" applyAlignment="1"/>
    <xf numFmtId="0" fontId="17" fillId="0" borderId="0" xfId="1" applyFont="1" applyFill="1"/>
    <xf numFmtId="3" fontId="17" fillId="0" borderId="0" xfId="1" applyNumberFormat="1" applyFont="1" applyFill="1"/>
    <xf numFmtId="3" fontId="17" fillId="0" borderId="0" xfId="1" applyNumberFormat="1" applyFont="1"/>
    <xf numFmtId="3" fontId="17" fillId="0" borderId="13" xfId="1" applyNumberFormat="1" applyFont="1" applyBorder="1" applyAlignment="1">
      <alignment horizontal="right"/>
    </xf>
    <xf numFmtId="0" fontId="17" fillId="0" borderId="0" xfId="1" applyNumberFormat="1" applyFont="1" applyFill="1" applyBorder="1" applyAlignment="1"/>
    <xf numFmtId="3" fontId="17" fillId="0" borderId="13" xfId="1" applyNumberFormat="1" applyFont="1" applyBorder="1" applyAlignment="1"/>
    <xf numFmtId="3" fontId="18" fillId="0" borderId="0" xfId="1" applyNumberFormat="1" applyFont="1" applyFill="1" applyAlignment="1"/>
    <xf numFmtId="0" fontId="17" fillId="0" borderId="0" xfId="0" applyNumberFormat="1" applyFont="1" applyFill="1"/>
    <xf numFmtId="10" fontId="17" fillId="0" borderId="0" xfId="1" applyNumberFormat="1" applyFont="1" applyFill="1" applyAlignment="1"/>
    <xf numFmtId="10" fontId="17" fillId="0" borderId="0" xfId="1" applyNumberFormat="1" applyFont="1" applyAlignment="1"/>
    <xf numFmtId="10" fontId="17" fillId="0" borderId="0" xfId="1" applyNumberFormat="1" applyFont="1"/>
    <xf numFmtId="0" fontId="18" fillId="0" borderId="0" xfId="0" applyFont="1" applyAlignment="1">
      <alignment horizontal="center"/>
    </xf>
    <xf numFmtId="0" fontId="18" fillId="0" borderId="0" xfId="0" applyFont="1" applyFill="1" applyAlignment="1">
      <alignment horizontal="center"/>
    </xf>
    <xf numFmtId="10" fontId="17" fillId="0" borderId="0" xfId="0" applyNumberFormat="1" applyFont="1"/>
    <xf numFmtId="10" fontId="19" fillId="0" borderId="0" xfId="0" applyNumberFormat="1" applyFont="1"/>
    <xf numFmtId="10" fontId="17" fillId="0" borderId="0" xfId="0" applyNumberFormat="1" applyFont="1" applyFill="1"/>
    <xf numFmtId="10" fontId="0" fillId="0" borderId="0" xfId="0" applyNumberFormat="1"/>
    <xf numFmtId="0" fontId="19" fillId="0" borderId="0" xfId="0" applyFont="1"/>
    <xf numFmtId="0" fontId="0" fillId="0" borderId="0" xfId="0" applyFill="1"/>
    <xf numFmtId="9" fontId="17" fillId="0" borderId="0" xfId="0" applyNumberFormat="1" applyFont="1"/>
    <xf numFmtId="2" fontId="22" fillId="0" borderId="0" xfId="0" applyNumberFormat="1" applyFont="1" applyFill="1"/>
    <xf numFmtId="0" fontId="0" fillId="0" borderId="0" xfId="0" applyNumberFormat="1"/>
    <xf numFmtId="0" fontId="19" fillId="0" borderId="0" xfId="0" applyNumberFormat="1" applyFont="1"/>
    <xf numFmtId="0" fontId="17" fillId="0" borderId="0" xfId="0" applyNumberFormat="1" applyFont="1"/>
    <xf numFmtId="0" fontId="0" fillId="0" borderId="0" xfId="0" applyNumberFormat="1" applyFill="1"/>
    <xf numFmtId="2" fontId="17" fillId="0" borderId="0" xfId="0" applyNumberFormat="1" applyFont="1"/>
    <xf numFmtId="2" fontId="19" fillId="0" borderId="0" xfId="0" applyNumberFormat="1" applyFont="1"/>
    <xf numFmtId="2" fontId="0" fillId="0" borderId="0" xfId="0" applyNumberFormat="1"/>
    <xf numFmtId="0" fontId="23" fillId="35" borderId="0" xfId="0" applyNumberFormat="1" applyFont="1" applyFill="1"/>
    <xf numFmtId="0" fontId="19" fillId="35" borderId="0" xfId="0" applyNumberFormat="1" applyFont="1" applyFill="1"/>
    <xf numFmtId="0" fontId="19" fillId="0" borderId="0" xfId="0" applyNumberFormat="1" applyFont="1" applyFill="1"/>
    <xf numFmtId="0" fontId="23" fillId="36" borderId="0" xfId="0" applyNumberFormat="1" applyFont="1" applyFill="1"/>
    <xf numFmtId="0" fontId="19" fillId="36" borderId="0" xfId="0" applyNumberFormat="1" applyFont="1" applyFill="1"/>
    <xf numFmtId="0" fontId="0" fillId="0" borderId="0" xfId="0" applyNumberFormat="1" applyFont="1"/>
    <xf numFmtId="0" fontId="23" fillId="35" borderId="0" xfId="0" applyFont="1" applyFill="1"/>
    <xf numFmtId="0" fontId="19" fillId="35" borderId="0" xfId="0" applyFont="1" applyFill="1"/>
    <xf numFmtId="0" fontId="19" fillId="0" borderId="0" xfId="0" applyFont="1" applyFill="1"/>
    <xf numFmtId="0" fontId="22" fillId="0" borderId="0" xfId="0" applyFont="1" applyFill="1"/>
    <xf numFmtId="4" fontId="17" fillId="0" borderId="0" xfId="0" applyNumberFormat="1" applyFont="1" applyFill="1"/>
    <xf numFmtId="4" fontId="19" fillId="0" borderId="0" xfId="0" applyNumberFormat="1" applyFont="1" applyFill="1"/>
    <xf numFmtId="4" fontId="22" fillId="0" borderId="0" xfId="0" applyNumberFormat="1" applyFont="1" applyFill="1"/>
    <xf numFmtId="3" fontId="17" fillId="0" borderId="0" xfId="0" applyNumberFormat="1" applyFont="1"/>
    <xf numFmtId="164" fontId="23" fillId="35" borderId="0" xfId="0" applyNumberFormat="1" applyFont="1" applyFill="1"/>
    <xf numFmtId="3" fontId="23" fillId="35" borderId="0" xfId="0" applyNumberFormat="1" applyFont="1" applyFill="1"/>
    <xf numFmtId="3" fontId="24" fillId="35" borderId="0" xfId="0" applyNumberFormat="1" applyFont="1" applyFill="1"/>
    <xf numFmtId="164" fontId="19" fillId="0" borderId="0" xfId="0" applyNumberFormat="1" applyFont="1" applyFill="1"/>
    <xf numFmtId="3" fontId="19" fillId="0" borderId="0" xfId="0" applyNumberFormat="1" applyFont="1"/>
    <xf numFmtId="3" fontId="22" fillId="37" borderId="0" xfId="0" applyNumberFormat="1" applyFont="1" applyFill="1"/>
    <xf numFmtId="3" fontId="17" fillId="38" borderId="0" xfId="0" applyNumberFormat="1" applyFont="1" applyFill="1"/>
    <xf numFmtId="3" fontId="0" fillId="38" borderId="0" xfId="0" applyNumberFormat="1" applyFill="1"/>
    <xf numFmtId="3" fontId="0" fillId="0" borderId="0" xfId="0" applyNumberFormat="1"/>
    <xf numFmtId="3" fontId="23" fillId="36" borderId="0" xfId="0" applyNumberFormat="1" applyFont="1" applyFill="1"/>
    <xf numFmtId="3" fontId="19" fillId="0" borderId="0" xfId="0" applyNumberFormat="1" applyFont="1" applyFill="1"/>
    <xf numFmtId="164" fontId="19" fillId="0" borderId="0" xfId="0" applyNumberFormat="1" applyFont="1"/>
    <xf numFmtId="3" fontId="17" fillId="34" borderId="0" xfId="0" applyNumberFormat="1" applyFont="1" applyFill="1"/>
    <xf numFmtId="3" fontId="17" fillId="39" borderId="0" xfId="0" applyNumberFormat="1" applyFont="1" applyFill="1"/>
    <xf numFmtId="10" fontId="17" fillId="38" borderId="0" xfId="0" applyNumberFormat="1" applyFont="1" applyFill="1"/>
    <xf numFmtId="10" fontId="19" fillId="0" borderId="0" xfId="0" applyNumberFormat="1" applyFont="1" applyFill="1"/>
    <xf numFmtId="10" fontId="0" fillId="38" borderId="0" xfId="0" applyNumberFormat="1" applyFill="1"/>
    <xf numFmtId="10" fontId="0" fillId="0" borderId="0" xfId="0" applyNumberFormat="1" applyFill="1"/>
    <xf numFmtId="10" fontId="23" fillId="35" borderId="0" xfId="0" applyNumberFormat="1" applyFont="1" applyFill="1"/>
    <xf numFmtId="0" fontId="18" fillId="0" borderId="0" xfId="0" applyFont="1"/>
    <xf numFmtId="9" fontId="17" fillId="40" borderId="0" xfId="0" applyNumberFormat="1" applyFont="1" applyFill="1"/>
    <xf numFmtId="9" fontId="19" fillId="0" borderId="0" xfId="0" applyNumberFormat="1" applyFont="1"/>
    <xf numFmtId="9" fontId="17" fillId="41" borderId="0" xfId="0" applyNumberFormat="1" applyFont="1" applyFill="1"/>
    <xf numFmtId="9" fontId="17" fillId="38" borderId="0" xfId="0" applyNumberFormat="1" applyFont="1" applyFill="1"/>
    <xf numFmtId="9" fontId="0" fillId="38" borderId="0" xfId="0" applyNumberFormat="1" applyFill="1"/>
    <xf numFmtId="9" fontId="0" fillId="0" borderId="0" xfId="0" applyNumberFormat="1"/>
    <xf numFmtId="0" fontId="18" fillId="0" borderId="0" xfId="0" applyNumberFormat="1" applyFont="1"/>
    <xf numFmtId="0" fontId="25" fillId="0" borderId="0" xfId="0" applyNumberFormat="1" applyFont="1"/>
    <xf numFmtId="0" fontId="25" fillId="0" borderId="0" xfId="0" applyNumberFormat="1" applyFont="1" applyFill="1"/>
    <xf numFmtId="10" fontId="22" fillId="0" borderId="0" xfId="3" applyNumberFormat="1" applyFont="1"/>
    <xf numFmtId="10" fontId="17" fillId="35" borderId="0" xfId="0" applyNumberFormat="1" applyFont="1" applyFill="1"/>
    <xf numFmtId="10" fontId="19" fillId="35" borderId="0" xfId="0" applyNumberFormat="1" applyFont="1" applyFill="1"/>
    <xf numFmtId="10" fontId="22" fillId="35" borderId="0" xfId="0" applyNumberFormat="1" applyFont="1" applyFill="1"/>
    <xf numFmtId="10" fontId="22" fillId="0" borderId="0" xfId="0" applyNumberFormat="1" applyFont="1" applyFill="1"/>
    <xf numFmtId="165" fontId="19" fillId="35" borderId="0" xfId="0" applyNumberFormat="1" applyFont="1" applyFill="1"/>
    <xf numFmtId="165" fontId="23" fillId="35" borderId="0" xfId="0" applyNumberFormat="1" applyFont="1" applyFill="1"/>
    <xf numFmtId="165" fontId="23" fillId="0" borderId="0" xfId="0" applyNumberFormat="1" applyFont="1" applyFill="1"/>
    <xf numFmtId="166" fontId="17" fillId="0" borderId="0" xfId="0" applyNumberFormat="1" applyFont="1"/>
    <xf numFmtId="166" fontId="27" fillId="0" borderId="0" xfId="4" applyNumberFormat="1" applyFont="1"/>
    <xf numFmtId="166" fontId="17" fillId="0" borderId="0" xfId="4" applyNumberFormat="1" applyFont="1"/>
    <xf numFmtId="166" fontId="22" fillId="0" borderId="0" xfId="0" applyNumberFormat="1" applyFont="1" applyFill="1"/>
    <xf numFmtId="166" fontId="0" fillId="0" borderId="0" xfId="0" applyNumberFormat="1"/>
    <xf numFmtId="10" fontId="0" fillId="0" borderId="0" xfId="0" applyNumberFormat="1" applyFont="1"/>
    <xf numFmtId="9" fontId="17" fillId="0" borderId="0" xfId="0" applyNumberFormat="1" applyFont="1" applyFill="1"/>
    <xf numFmtId="9" fontId="19" fillId="0" borderId="0" xfId="0" applyNumberFormat="1" applyFont="1" applyFill="1"/>
    <xf numFmtId="14" fontId="27" fillId="0" borderId="0" xfId="4" applyNumberFormat="1" applyFont="1" applyFill="1" applyBorder="1" applyAlignment="1"/>
    <xf numFmtId="14" fontId="17" fillId="0" borderId="0" xfId="4" applyNumberFormat="1" applyFont="1" applyFill="1" applyBorder="1" applyAlignment="1"/>
    <xf numFmtId="0" fontId="22" fillId="0" borderId="0" xfId="0" applyNumberFormat="1" applyFont="1" applyFill="1"/>
    <xf numFmtId="10" fontId="22" fillId="38" borderId="0" xfId="0" applyNumberFormat="1" applyFont="1" applyFill="1"/>
    <xf numFmtId="9" fontId="17" fillId="37" borderId="0" xfId="0" applyNumberFormat="1" applyFont="1" applyFill="1"/>
    <xf numFmtId="0" fontId="0" fillId="0" borderId="0" xfId="0" applyNumberFormat="1" applyFont="1" applyFill="1"/>
    <xf numFmtId="167" fontId="17" fillId="0" borderId="0" xfId="0" applyNumberFormat="1" applyFont="1"/>
    <xf numFmtId="0" fontId="27" fillId="0" borderId="0" xfId="4" applyFont="1"/>
    <xf numFmtId="0" fontId="17" fillId="0" borderId="0" xfId="4" applyFont="1"/>
    <xf numFmtId="167" fontId="22" fillId="0" borderId="0" xfId="0" applyNumberFormat="1" applyFont="1" applyFill="1"/>
    <xf numFmtId="167" fontId="22" fillId="38" borderId="0" xfId="0" applyNumberFormat="1" applyFont="1" applyFill="1"/>
    <xf numFmtId="167" fontId="0" fillId="0" borderId="0" xfId="0" applyNumberFormat="1"/>
    <xf numFmtId="3" fontId="19" fillId="35" borderId="0" xfId="0" applyNumberFormat="1" applyFont="1" applyFill="1"/>
    <xf numFmtId="164" fontId="19" fillId="35" borderId="0" xfId="0" applyNumberFormat="1" applyFont="1" applyFill="1"/>
    <xf numFmtId="10" fontId="22" fillId="0" borderId="0" xfId="0" applyNumberFormat="1" applyFont="1"/>
    <xf numFmtId="0" fontId="17" fillId="40" borderId="0" xfId="0" applyFont="1" applyFill="1"/>
    <xf numFmtId="3" fontId="17" fillId="0" borderId="0" xfId="0" applyNumberFormat="1" applyFont="1" applyFill="1"/>
    <xf numFmtId="3" fontId="0" fillId="0" borderId="0" xfId="0" applyNumberFormat="1" applyFill="1"/>
    <xf numFmtId="0" fontId="34" fillId="0" borderId="0" xfId="1" applyFont="1" applyFill="1" applyAlignment="1"/>
    <xf numFmtId="0" fontId="35" fillId="0" borderId="0" xfId="1" applyFont="1"/>
    <xf numFmtId="0" fontId="34" fillId="0" borderId="0" xfId="1" applyFont="1" applyFill="1"/>
    <xf numFmtId="0" fontId="34" fillId="0" borderId="0" xfId="1" applyFont="1"/>
    <xf numFmtId="0" fontId="34" fillId="0" borderId="0" xfId="0" applyFont="1"/>
    <xf numFmtId="10" fontId="17" fillId="39" borderId="0" xfId="0" applyNumberFormat="1" applyFont="1" applyFill="1"/>
    <xf numFmtId="9" fontId="17" fillId="0" borderId="0" xfId="1" applyNumberFormat="1" applyFont="1"/>
    <xf numFmtId="10" fontId="17" fillId="0" borderId="0" xfId="1" applyNumberFormat="1" applyFill="1"/>
    <xf numFmtId="0" fontId="18" fillId="42" borderId="0" xfId="0" applyFont="1" applyFill="1" applyAlignment="1">
      <alignment horizontal="center"/>
    </xf>
    <xf numFmtId="3" fontId="17" fillId="0" borderId="0" xfId="1" applyNumberFormat="1" applyFont="1" applyBorder="1" applyAlignment="1">
      <alignment horizontal="right"/>
    </xf>
    <xf numFmtId="3" fontId="17" fillId="0" borderId="0" xfId="0" applyNumberFormat="1" applyFont="1" applyBorder="1"/>
    <xf numFmtId="0" fontId="18" fillId="43" borderId="14" xfId="1" applyFont="1" applyFill="1" applyBorder="1" applyAlignment="1">
      <alignment horizontal="center"/>
    </xf>
    <xf numFmtId="0" fontId="18" fillId="42" borderId="14" xfId="1" applyFont="1" applyFill="1" applyBorder="1" applyAlignment="1">
      <alignment horizontal="center"/>
    </xf>
    <xf numFmtId="0" fontId="18" fillId="41" borderId="14" xfId="1" applyFont="1" applyFill="1" applyBorder="1" applyAlignment="1">
      <alignment horizontal="center"/>
    </xf>
    <xf numFmtId="0" fontId="17" fillId="33" borderId="11" xfId="1" applyFont="1" applyFill="1" applyBorder="1" applyAlignment="1" applyProtection="1">
      <alignment horizontal="center"/>
      <protection locked="0"/>
    </xf>
    <xf numFmtId="0" fontId="17" fillId="0" borderId="0" xfId="1" applyFont="1" applyProtection="1">
      <protection locked="0"/>
    </xf>
    <xf numFmtId="9" fontId="17" fillId="34" borderId="12" xfId="1" applyNumberFormat="1" applyFont="1" applyFill="1" applyBorder="1" applyAlignment="1" applyProtection="1">
      <alignment horizontal="center"/>
      <protection locked="0"/>
    </xf>
    <xf numFmtId="3" fontId="17" fillId="34" borderId="10" xfId="2" applyNumberFormat="1" applyFont="1" applyFill="1" applyBorder="1" applyAlignment="1" applyProtection="1">
      <protection locked="0"/>
    </xf>
    <xf numFmtId="3" fontId="19" fillId="34" borderId="10" xfId="2" applyNumberFormat="1" applyFont="1" applyFill="1" applyBorder="1" applyAlignment="1" applyProtection="1">
      <protection locked="0"/>
    </xf>
    <xf numFmtId="0" fontId="19" fillId="0" borderId="0" xfId="1" applyFont="1" applyFill="1" applyProtection="1">
      <protection locked="0"/>
    </xf>
    <xf numFmtId="0" fontId="17" fillId="0" borderId="0" xfId="0" applyFont="1" applyProtection="1">
      <protection locked="0"/>
    </xf>
    <xf numFmtId="3" fontId="17" fillId="0" borderId="13" xfId="0" applyNumberFormat="1" applyFont="1" applyBorder="1" applyProtection="1">
      <protection locked="0"/>
    </xf>
    <xf numFmtId="9" fontId="17" fillId="0" borderId="0" xfId="1" applyNumberFormat="1" applyFont="1" applyProtection="1">
      <protection locked="0"/>
    </xf>
    <xf numFmtId="0" fontId="34" fillId="0" borderId="0" xfId="1" applyFont="1" applyProtection="1">
      <protection locked="0"/>
    </xf>
    <xf numFmtId="3" fontId="17" fillId="0" borderId="0" xfId="1" applyNumberFormat="1" applyFont="1" applyFill="1" applyAlignment="1" applyProtection="1">
      <protection locked="0"/>
    </xf>
    <xf numFmtId="3" fontId="17" fillId="0" borderId="0" xfId="1" applyNumberFormat="1" applyFont="1" applyFill="1" applyProtection="1">
      <protection locked="0"/>
    </xf>
    <xf numFmtId="3" fontId="17" fillId="0" borderId="0" xfId="1" applyNumberFormat="1" applyFont="1" applyProtection="1">
      <protection locked="0"/>
    </xf>
    <xf numFmtId="3" fontId="17" fillId="0" borderId="13" xfId="1" applyNumberFormat="1" applyFont="1" applyBorder="1" applyAlignment="1" applyProtection="1">
      <alignment horizontal="right"/>
      <protection locked="0"/>
    </xf>
    <xf numFmtId="3" fontId="17" fillId="0" borderId="0" xfId="1" applyNumberFormat="1" applyFont="1" applyBorder="1" applyAlignment="1" applyProtection="1">
      <alignment horizontal="right"/>
      <protection locked="0"/>
    </xf>
    <xf numFmtId="0" fontId="17" fillId="0" borderId="0" xfId="1" applyNumberFormat="1" applyFont="1" applyFill="1" applyBorder="1" applyAlignment="1" applyProtection="1">
      <protection locked="0"/>
    </xf>
    <xf numFmtId="3" fontId="17" fillId="0" borderId="0" xfId="1" applyNumberFormat="1" applyFont="1" applyAlignment="1" applyProtection="1">
      <protection locked="0"/>
    </xf>
    <xf numFmtId="3" fontId="17" fillId="0" borderId="13" xfId="1" applyNumberFormat="1" applyFont="1" applyBorder="1" applyAlignment="1" applyProtection="1">
      <protection locked="0"/>
    </xf>
    <xf numFmtId="10" fontId="17" fillId="0" borderId="0" xfId="1" applyNumberFormat="1" applyFont="1" applyFill="1" applyAlignment="1" applyProtection="1">
      <protection locked="0"/>
    </xf>
    <xf numFmtId="10" fontId="17" fillId="0" borderId="0" xfId="1" applyNumberFormat="1" applyFont="1" applyProtection="1">
      <protection locked="0"/>
    </xf>
    <xf numFmtId="10" fontId="17" fillId="0" borderId="0" xfId="1" applyNumberFormat="1" applyFill="1" applyProtection="1">
      <protection locked="0"/>
    </xf>
  </cellXfs>
  <cellStyles count="225">
    <cellStyle name="20% - Accent1 2" xfId="5" xr:uid="{00000000-0005-0000-0000-000000000000}"/>
    <cellStyle name="20% - Accent1 2 2" xfId="6" xr:uid="{00000000-0005-0000-0000-000001000000}"/>
    <cellStyle name="20% - Accent1 3" xfId="7" xr:uid="{00000000-0005-0000-0000-000002000000}"/>
    <cellStyle name="20% - Accent1 3 2" xfId="8" xr:uid="{00000000-0005-0000-0000-000003000000}"/>
    <cellStyle name="20% - Accent1 4" xfId="9" xr:uid="{00000000-0005-0000-0000-000004000000}"/>
    <cellStyle name="20% - Accent1 5" xfId="10" xr:uid="{00000000-0005-0000-0000-000005000000}"/>
    <cellStyle name="20% - Accent1 6" xfId="11" xr:uid="{00000000-0005-0000-0000-000006000000}"/>
    <cellStyle name="20% - Accent2 2" xfId="12" xr:uid="{00000000-0005-0000-0000-000007000000}"/>
    <cellStyle name="20% - Accent2 2 2" xfId="13" xr:uid="{00000000-0005-0000-0000-000008000000}"/>
    <cellStyle name="20% - Accent2 3" xfId="14" xr:uid="{00000000-0005-0000-0000-000009000000}"/>
    <cellStyle name="20% - Accent2 3 2" xfId="15" xr:uid="{00000000-0005-0000-0000-00000A000000}"/>
    <cellStyle name="20% - Accent2 4" xfId="16" xr:uid="{00000000-0005-0000-0000-00000B000000}"/>
    <cellStyle name="20% - Accent2 5" xfId="17" xr:uid="{00000000-0005-0000-0000-00000C000000}"/>
    <cellStyle name="20% - Accent2 6" xfId="18" xr:uid="{00000000-0005-0000-0000-00000D000000}"/>
    <cellStyle name="20% - Accent3 2" xfId="19" xr:uid="{00000000-0005-0000-0000-00000E000000}"/>
    <cellStyle name="20% - Accent3 2 2" xfId="20" xr:uid="{00000000-0005-0000-0000-00000F000000}"/>
    <cellStyle name="20% - Accent3 3" xfId="21" xr:uid="{00000000-0005-0000-0000-000010000000}"/>
    <cellStyle name="20% - Accent3 3 2" xfId="22" xr:uid="{00000000-0005-0000-0000-000011000000}"/>
    <cellStyle name="20% - Accent3 4" xfId="23" xr:uid="{00000000-0005-0000-0000-000012000000}"/>
    <cellStyle name="20% - Accent3 5" xfId="24" xr:uid="{00000000-0005-0000-0000-000013000000}"/>
    <cellStyle name="20% - Accent3 6" xfId="25" xr:uid="{00000000-0005-0000-0000-000014000000}"/>
    <cellStyle name="20% - Accent4 2" xfId="26" xr:uid="{00000000-0005-0000-0000-000015000000}"/>
    <cellStyle name="20% - Accent4 2 2" xfId="27" xr:uid="{00000000-0005-0000-0000-000016000000}"/>
    <cellStyle name="20% - Accent4 3" xfId="28" xr:uid="{00000000-0005-0000-0000-000017000000}"/>
    <cellStyle name="20% - Accent4 3 2" xfId="29" xr:uid="{00000000-0005-0000-0000-000018000000}"/>
    <cellStyle name="20% - Accent4 4" xfId="30" xr:uid="{00000000-0005-0000-0000-000019000000}"/>
    <cellStyle name="20% - Accent4 5" xfId="31" xr:uid="{00000000-0005-0000-0000-00001A000000}"/>
    <cellStyle name="20% - Accent4 6" xfId="32" xr:uid="{00000000-0005-0000-0000-00001B000000}"/>
    <cellStyle name="20% - Accent5 2" xfId="33" xr:uid="{00000000-0005-0000-0000-00001C000000}"/>
    <cellStyle name="20% - Accent5 2 2" xfId="34" xr:uid="{00000000-0005-0000-0000-00001D000000}"/>
    <cellStyle name="20% - Accent5 3" xfId="35" xr:uid="{00000000-0005-0000-0000-00001E000000}"/>
    <cellStyle name="20% - Accent5 3 2" xfId="36" xr:uid="{00000000-0005-0000-0000-00001F000000}"/>
    <cellStyle name="20% - Accent5 4" xfId="37" xr:uid="{00000000-0005-0000-0000-000020000000}"/>
    <cellStyle name="20% - Accent5 5" xfId="38" xr:uid="{00000000-0005-0000-0000-000021000000}"/>
    <cellStyle name="20% - Accent5 6" xfId="39" xr:uid="{00000000-0005-0000-0000-000022000000}"/>
    <cellStyle name="20% - Accent6 2" xfId="40" xr:uid="{00000000-0005-0000-0000-000023000000}"/>
    <cellStyle name="20% - Accent6 2 2" xfId="41" xr:uid="{00000000-0005-0000-0000-000024000000}"/>
    <cellStyle name="20% - Accent6 3" xfId="42" xr:uid="{00000000-0005-0000-0000-000025000000}"/>
    <cellStyle name="20% - Accent6 3 2" xfId="43" xr:uid="{00000000-0005-0000-0000-000026000000}"/>
    <cellStyle name="20% - Accent6 4" xfId="44" xr:uid="{00000000-0005-0000-0000-000027000000}"/>
    <cellStyle name="20% - Accent6 5" xfId="45" xr:uid="{00000000-0005-0000-0000-000028000000}"/>
    <cellStyle name="20% - Accent6 6" xfId="46" xr:uid="{00000000-0005-0000-0000-000029000000}"/>
    <cellStyle name="40% - Accent1 2" xfId="47" xr:uid="{00000000-0005-0000-0000-00002A000000}"/>
    <cellStyle name="40% - Accent1 2 2" xfId="48" xr:uid="{00000000-0005-0000-0000-00002B000000}"/>
    <cellStyle name="40% - Accent1 3" xfId="49" xr:uid="{00000000-0005-0000-0000-00002C000000}"/>
    <cellStyle name="40% - Accent1 3 2" xfId="50" xr:uid="{00000000-0005-0000-0000-00002D000000}"/>
    <cellStyle name="40% - Accent1 4" xfId="51" xr:uid="{00000000-0005-0000-0000-00002E000000}"/>
    <cellStyle name="40% - Accent1 5" xfId="52" xr:uid="{00000000-0005-0000-0000-00002F000000}"/>
    <cellStyle name="40% - Accent1 6" xfId="53" xr:uid="{00000000-0005-0000-0000-000030000000}"/>
    <cellStyle name="40% - Accent2 2" xfId="54" xr:uid="{00000000-0005-0000-0000-000031000000}"/>
    <cellStyle name="40% - Accent2 2 2" xfId="55" xr:uid="{00000000-0005-0000-0000-000032000000}"/>
    <cellStyle name="40% - Accent2 3" xfId="56" xr:uid="{00000000-0005-0000-0000-000033000000}"/>
    <cellStyle name="40% - Accent2 3 2" xfId="57" xr:uid="{00000000-0005-0000-0000-000034000000}"/>
    <cellStyle name="40% - Accent2 4" xfId="58" xr:uid="{00000000-0005-0000-0000-000035000000}"/>
    <cellStyle name="40% - Accent2 5" xfId="59" xr:uid="{00000000-0005-0000-0000-000036000000}"/>
    <cellStyle name="40% - Accent2 6" xfId="60" xr:uid="{00000000-0005-0000-0000-000037000000}"/>
    <cellStyle name="40% - Accent3 2" xfId="61" xr:uid="{00000000-0005-0000-0000-000038000000}"/>
    <cellStyle name="40% - Accent3 2 2" xfId="62" xr:uid="{00000000-0005-0000-0000-000039000000}"/>
    <cellStyle name="40% - Accent3 3" xfId="63" xr:uid="{00000000-0005-0000-0000-00003A000000}"/>
    <cellStyle name="40% - Accent3 3 2" xfId="64" xr:uid="{00000000-0005-0000-0000-00003B000000}"/>
    <cellStyle name="40% - Accent3 4" xfId="65" xr:uid="{00000000-0005-0000-0000-00003C000000}"/>
    <cellStyle name="40% - Accent3 5" xfId="66" xr:uid="{00000000-0005-0000-0000-00003D000000}"/>
    <cellStyle name="40% - Accent3 6" xfId="67" xr:uid="{00000000-0005-0000-0000-00003E000000}"/>
    <cellStyle name="40% - Accent4 2" xfId="68" xr:uid="{00000000-0005-0000-0000-00003F000000}"/>
    <cellStyle name="40% - Accent4 2 2" xfId="69" xr:uid="{00000000-0005-0000-0000-000040000000}"/>
    <cellStyle name="40% - Accent4 3" xfId="70" xr:uid="{00000000-0005-0000-0000-000041000000}"/>
    <cellStyle name="40% - Accent4 3 2" xfId="71" xr:uid="{00000000-0005-0000-0000-000042000000}"/>
    <cellStyle name="40% - Accent4 4" xfId="72" xr:uid="{00000000-0005-0000-0000-000043000000}"/>
    <cellStyle name="40% - Accent4 5" xfId="73" xr:uid="{00000000-0005-0000-0000-000044000000}"/>
    <cellStyle name="40% - Accent4 6" xfId="74" xr:uid="{00000000-0005-0000-0000-000045000000}"/>
    <cellStyle name="40% - Accent5 2" xfId="75" xr:uid="{00000000-0005-0000-0000-000046000000}"/>
    <cellStyle name="40% - Accent5 2 2" xfId="76" xr:uid="{00000000-0005-0000-0000-000047000000}"/>
    <cellStyle name="40% - Accent5 3" xfId="77" xr:uid="{00000000-0005-0000-0000-000048000000}"/>
    <cellStyle name="40% - Accent5 3 2" xfId="78" xr:uid="{00000000-0005-0000-0000-000049000000}"/>
    <cellStyle name="40% - Accent5 4" xfId="79" xr:uid="{00000000-0005-0000-0000-00004A000000}"/>
    <cellStyle name="40% - Accent5 5" xfId="80" xr:uid="{00000000-0005-0000-0000-00004B000000}"/>
    <cellStyle name="40% - Accent5 6" xfId="81" xr:uid="{00000000-0005-0000-0000-00004C000000}"/>
    <cellStyle name="40% - Accent6 2" xfId="82" xr:uid="{00000000-0005-0000-0000-00004D000000}"/>
    <cellStyle name="40% - Accent6 2 2" xfId="83" xr:uid="{00000000-0005-0000-0000-00004E000000}"/>
    <cellStyle name="40% - Accent6 3" xfId="84" xr:uid="{00000000-0005-0000-0000-00004F000000}"/>
    <cellStyle name="40% - Accent6 3 2" xfId="85" xr:uid="{00000000-0005-0000-0000-000050000000}"/>
    <cellStyle name="40% - Accent6 4" xfId="86" xr:uid="{00000000-0005-0000-0000-000051000000}"/>
    <cellStyle name="40% - Accent6 5" xfId="87" xr:uid="{00000000-0005-0000-0000-000052000000}"/>
    <cellStyle name="40% - Accent6 6" xfId="88" xr:uid="{00000000-0005-0000-0000-000053000000}"/>
    <cellStyle name="60% - Accent1 2" xfId="89" xr:uid="{00000000-0005-0000-0000-000054000000}"/>
    <cellStyle name="60% - Accent1 3" xfId="90" xr:uid="{00000000-0005-0000-0000-000055000000}"/>
    <cellStyle name="60% - Accent2 2" xfId="91" xr:uid="{00000000-0005-0000-0000-000056000000}"/>
    <cellStyle name="60% - Accent2 3" xfId="92" xr:uid="{00000000-0005-0000-0000-000057000000}"/>
    <cellStyle name="60% - Accent3 2" xfId="93" xr:uid="{00000000-0005-0000-0000-000058000000}"/>
    <cellStyle name="60% - Accent3 3" xfId="94" xr:uid="{00000000-0005-0000-0000-000059000000}"/>
    <cellStyle name="60% - Accent4 2" xfId="95" xr:uid="{00000000-0005-0000-0000-00005A000000}"/>
    <cellStyle name="60% - Accent4 3" xfId="96" xr:uid="{00000000-0005-0000-0000-00005B000000}"/>
    <cellStyle name="60% - Accent5 2" xfId="97" xr:uid="{00000000-0005-0000-0000-00005C000000}"/>
    <cellStyle name="60% - Accent5 3" xfId="98" xr:uid="{00000000-0005-0000-0000-00005D000000}"/>
    <cellStyle name="60% - Accent6 2" xfId="99" xr:uid="{00000000-0005-0000-0000-00005E000000}"/>
    <cellStyle name="60% - Accent6 3" xfId="100" xr:uid="{00000000-0005-0000-0000-00005F000000}"/>
    <cellStyle name="Accent1 2" xfId="101" xr:uid="{00000000-0005-0000-0000-000060000000}"/>
    <cellStyle name="Accent2 2" xfId="102" xr:uid="{00000000-0005-0000-0000-000061000000}"/>
    <cellStyle name="Accent3 2" xfId="103" xr:uid="{00000000-0005-0000-0000-000062000000}"/>
    <cellStyle name="Accent4 2" xfId="104" xr:uid="{00000000-0005-0000-0000-000063000000}"/>
    <cellStyle name="Accent5 2" xfId="105" xr:uid="{00000000-0005-0000-0000-000064000000}"/>
    <cellStyle name="Accent6 2" xfId="106" xr:uid="{00000000-0005-0000-0000-000065000000}"/>
    <cellStyle name="Bad 2" xfId="107" xr:uid="{00000000-0005-0000-0000-000066000000}"/>
    <cellStyle name="Calculation 2" xfId="108" xr:uid="{00000000-0005-0000-0000-000067000000}"/>
    <cellStyle name="Check Cell 2" xfId="109" xr:uid="{00000000-0005-0000-0000-000068000000}"/>
    <cellStyle name="Euro" xfId="110" xr:uid="{00000000-0005-0000-0000-000069000000}"/>
    <cellStyle name="Euro 2" xfId="111" xr:uid="{00000000-0005-0000-0000-00006A000000}"/>
    <cellStyle name="Euro 2 2" xfId="112" xr:uid="{00000000-0005-0000-0000-00006B000000}"/>
    <cellStyle name="Euro 2 2 2" xfId="113" xr:uid="{00000000-0005-0000-0000-00006C000000}"/>
    <cellStyle name="Euro 2 3" xfId="114" xr:uid="{00000000-0005-0000-0000-00006D000000}"/>
    <cellStyle name="Euro 3" xfId="115" xr:uid="{00000000-0005-0000-0000-00006E000000}"/>
    <cellStyle name="Euro 3 2" xfId="116" xr:uid="{00000000-0005-0000-0000-00006F000000}"/>
    <cellStyle name="Euro 4" xfId="117" xr:uid="{00000000-0005-0000-0000-000070000000}"/>
    <cellStyle name="Explanatory Text 2" xfId="118" xr:uid="{00000000-0005-0000-0000-000071000000}"/>
    <cellStyle name="Good 2" xfId="119" xr:uid="{00000000-0005-0000-0000-000072000000}"/>
    <cellStyle name="Heading 1 2" xfId="120" xr:uid="{00000000-0005-0000-0000-000073000000}"/>
    <cellStyle name="Heading 2 2" xfId="121" xr:uid="{00000000-0005-0000-0000-000074000000}"/>
    <cellStyle name="Heading 3 2" xfId="122" xr:uid="{00000000-0005-0000-0000-000075000000}"/>
    <cellStyle name="Heading 4 2" xfId="123" xr:uid="{00000000-0005-0000-0000-000076000000}"/>
    <cellStyle name="Hyperlink" xfId="4" builtinId="8"/>
    <cellStyle name="Hyperlink 2" xfId="124" xr:uid="{00000000-0005-0000-0000-000078000000}"/>
    <cellStyle name="Input 2" xfId="125" xr:uid="{00000000-0005-0000-0000-000079000000}"/>
    <cellStyle name="Komma 2" xfId="126" xr:uid="{00000000-0005-0000-0000-00007A000000}"/>
    <cellStyle name="Linked Cell 2" xfId="127" xr:uid="{00000000-0005-0000-0000-00007B000000}"/>
    <cellStyle name="Neutral 2" xfId="128" xr:uid="{00000000-0005-0000-0000-00007C000000}"/>
    <cellStyle name="Neutral 3" xfId="129" xr:uid="{00000000-0005-0000-0000-00007D000000}"/>
    <cellStyle name="Normal" xfId="0" builtinId="0"/>
    <cellStyle name="Normal 10" xfId="3" xr:uid="{00000000-0005-0000-0000-00007F000000}"/>
    <cellStyle name="Normal 10 2" xfId="130" xr:uid="{00000000-0005-0000-0000-000080000000}"/>
    <cellStyle name="Normal 11" xfId="131" xr:uid="{00000000-0005-0000-0000-000081000000}"/>
    <cellStyle name="Normal 11 2" xfId="132" xr:uid="{00000000-0005-0000-0000-000082000000}"/>
    <cellStyle name="Normal 11 2 2" xfId="133" xr:uid="{00000000-0005-0000-0000-000083000000}"/>
    <cellStyle name="Normal 11 3" xfId="134" xr:uid="{00000000-0005-0000-0000-000084000000}"/>
    <cellStyle name="Normal 12" xfId="135" xr:uid="{00000000-0005-0000-0000-000085000000}"/>
    <cellStyle name="Normal 12 2" xfId="136" xr:uid="{00000000-0005-0000-0000-000086000000}"/>
    <cellStyle name="Normal 13" xfId="137" xr:uid="{00000000-0005-0000-0000-000087000000}"/>
    <cellStyle name="Normal 13 2" xfId="138" xr:uid="{00000000-0005-0000-0000-000088000000}"/>
    <cellStyle name="Normal 13 2 2" xfId="139" xr:uid="{00000000-0005-0000-0000-000089000000}"/>
    <cellStyle name="Normal 13 3" xfId="140" xr:uid="{00000000-0005-0000-0000-00008A000000}"/>
    <cellStyle name="Normal 14" xfId="141" xr:uid="{00000000-0005-0000-0000-00008B000000}"/>
    <cellStyle name="Normal 14 2" xfId="142" xr:uid="{00000000-0005-0000-0000-00008C000000}"/>
    <cellStyle name="Normal 14 2 2" xfId="143" xr:uid="{00000000-0005-0000-0000-00008D000000}"/>
    <cellStyle name="Normal 14 3" xfId="144" xr:uid="{00000000-0005-0000-0000-00008E000000}"/>
    <cellStyle name="Normal 15" xfId="145" xr:uid="{00000000-0005-0000-0000-00008F000000}"/>
    <cellStyle name="Normal 15 2" xfId="146" xr:uid="{00000000-0005-0000-0000-000090000000}"/>
    <cellStyle name="Normal 16" xfId="147" xr:uid="{00000000-0005-0000-0000-000091000000}"/>
    <cellStyle name="Normal 16 2" xfId="148" xr:uid="{00000000-0005-0000-0000-000092000000}"/>
    <cellStyle name="Normal 16 2 2" xfId="149" xr:uid="{00000000-0005-0000-0000-000093000000}"/>
    <cellStyle name="Normal 16 3" xfId="150" xr:uid="{00000000-0005-0000-0000-000094000000}"/>
    <cellStyle name="Normal 17" xfId="151" xr:uid="{00000000-0005-0000-0000-000095000000}"/>
    <cellStyle name="Normal 17 2" xfId="152" xr:uid="{00000000-0005-0000-0000-000096000000}"/>
    <cellStyle name="Normal 18" xfId="153" xr:uid="{00000000-0005-0000-0000-000097000000}"/>
    <cellStyle name="Normal 18 2" xfId="154" xr:uid="{00000000-0005-0000-0000-000098000000}"/>
    <cellStyle name="Normal 19" xfId="155" xr:uid="{00000000-0005-0000-0000-000099000000}"/>
    <cellStyle name="Normal 19 2" xfId="156" xr:uid="{00000000-0005-0000-0000-00009A000000}"/>
    <cellStyle name="Normal 2" xfId="157" xr:uid="{00000000-0005-0000-0000-00009B000000}"/>
    <cellStyle name="Normal 2 2" xfId="158" xr:uid="{00000000-0005-0000-0000-00009C000000}"/>
    <cellStyle name="Normal 2 2 2" xfId="159" xr:uid="{00000000-0005-0000-0000-00009D000000}"/>
    <cellStyle name="Normal 2 2 2 2" xfId="160" xr:uid="{00000000-0005-0000-0000-00009E000000}"/>
    <cellStyle name="Normal 2 2 3" xfId="161" xr:uid="{00000000-0005-0000-0000-00009F000000}"/>
    <cellStyle name="Normal 2 3" xfId="1" xr:uid="{00000000-0005-0000-0000-0000A0000000}"/>
    <cellStyle name="Normal 2 3 2" xfId="162" xr:uid="{00000000-0005-0000-0000-0000A1000000}"/>
    <cellStyle name="Normal 2 3 2 2" xfId="163" xr:uid="{00000000-0005-0000-0000-0000A2000000}"/>
    <cellStyle name="Normal 2 3 3" xfId="164" xr:uid="{00000000-0005-0000-0000-0000A3000000}"/>
    <cellStyle name="Normal 2 4" xfId="165" xr:uid="{00000000-0005-0000-0000-0000A4000000}"/>
    <cellStyle name="Normal 2 4 2" xfId="166" xr:uid="{00000000-0005-0000-0000-0000A5000000}"/>
    <cellStyle name="Normal 2 5" xfId="167" xr:uid="{00000000-0005-0000-0000-0000A6000000}"/>
    <cellStyle name="Normal 20" xfId="168" xr:uid="{00000000-0005-0000-0000-0000A7000000}"/>
    <cellStyle name="Normal 20 2" xfId="169" xr:uid="{00000000-0005-0000-0000-0000A8000000}"/>
    <cellStyle name="Normal 20 2 2" xfId="170" xr:uid="{00000000-0005-0000-0000-0000A9000000}"/>
    <cellStyle name="Normal 20 3" xfId="171" xr:uid="{00000000-0005-0000-0000-0000AA000000}"/>
    <cellStyle name="Normal 21" xfId="172" xr:uid="{00000000-0005-0000-0000-0000AB000000}"/>
    <cellStyle name="Normal 21 2" xfId="173" xr:uid="{00000000-0005-0000-0000-0000AC000000}"/>
    <cellStyle name="Normal 22" xfId="174" xr:uid="{00000000-0005-0000-0000-0000AD000000}"/>
    <cellStyle name="Normal 22 2" xfId="175" xr:uid="{00000000-0005-0000-0000-0000AE000000}"/>
    <cellStyle name="Normal 23" xfId="176" xr:uid="{00000000-0005-0000-0000-0000AF000000}"/>
    <cellStyle name="Normal 23 2" xfId="177" xr:uid="{00000000-0005-0000-0000-0000B0000000}"/>
    <cellStyle name="Normal 24" xfId="178" xr:uid="{00000000-0005-0000-0000-0000B1000000}"/>
    <cellStyle name="Normal 24 2" xfId="179" xr:uid="{00000000-0005-0000-0000-0000B2000000}"/>
    <cellStyle name="Normal 25" xfId="180" xr:uid="{00000000-0005-0000-0000-0000B3000000}"/>
    <cellStyle name="Normal 25 2" xfId="181" xr:uid="{00000000-0005-0000-0000-0000B4000000}"/>
    <cellStyle name="Normal 25 2 2" xfId="182" xr:uid="{00000000-0005-0000-0000-0000B5000000}"/>
    <cellStyle name="Normal 25 3" xfId="183" xr:uid="{00000000-0005-0000-0000-0000B6000000}"/>
    <cellStyle name="Normal 26" xfId="2" xr:uid="{00000000-0005-0000-0000-0000B7000000}"/>
    <cellStyle name="Normal 26 2" xfId="184" xr:uid="{00000000-0005-0000-0000-0000B8000000}"/>
    <cellStyle name="Normal 27" xfId="185" xr:uid="{00000000-0005-0000-0000-0000B9000000}"/>
    <cellStyle name="Normal 27 2" xfId="186" xr:uid="{00000000-0005-0000-0000-0000BA000000}"/>
    <cellStyle name="Normal 28" xfId="187" xr:uid="{00000000-0005-0000-0000-0000BB000000}"/>
    <cellStyle name="Normal 28 2" xfId="188" xr:uid="{00000000-0005-0000-0000-0000BC000000}"/>
    <cellStyle name="Normal 29" xfId="189" xr:uid="{00000000-0005-0000-0000-0000BD000000}"/>
    <cellStyle name="Normal 3" xfId="190" xr:uid="{00000000-0005-0000-0000-0000BE000000}"/>
    <cellStyle name="Normal 30" xfId="191" xr:uid="{00000000-0005-0000-0000-0000BF000000}"/>
    <cellStyle name="Normal 31" xfId="192" xr:uid="{00000000-0005-0000-0000-0000C0000000}"/>
    <cellStyle name="Normal 32" xfId="193" xr:uid="{00000000-0005-0000-0000-0000C1000000}"/>
    <cellStyle name="Normal 33" xfId="194" xr:uid="{00000000-0005-0000-0000-0000C2000000}"/>
    <cellStyle name="Normal 34" xfId="195" xr:uid="{00000000-0005-0000-0000-0000C3000000}"/>
    <cellStyle name="Normal 4" xfId="196" xr:uid="{00000000-0005-0000-0000-0000C4000000}"/>
    <cellStyle name="Normal 4 2" xfId="197" xr:uid="{00000000-0005-0000-0000-0000C5000000}"/>
    <cellStyle name="Normal 4 2 2" xfId="198" xr:uid="{00000000-0005-0000-0000-0000C6000000}"/>
    <cellStyle name="Normal 4 3" xfId="199" xr:uid="{00000000-0005-0000-0000-0000C7000000}"/>
    <cellStyle name="Normal 5" xfId="200" xr:uid="{00000000-0005-0000-0000-0000C8000000}"/>
    <cellStyle name="Normal 5 2" xfId="201" xr:uid="{00000000-0005-0000-0000-0000C9000000}"/>
    <cellStyle name="Normal 5 2 2" xfId="202" xr:uid="{00000000-0005-0000-0000-0000CA000000}"/>
    <cellStyle name="Normal 5 3" xfId="203" xr:uid="{00000000-0005-0000-0000-0000CB000000}"/>
    <cellStyle name="Normal 6" xfId="204" xr:uid="{00000000-0005-0000-0000-0000CC000000}"/>
    <cellStyle name="Normal 6 2" xfId="205" xr:uid="{00000000-0005-0000-0000-0000CD000000}"/>
    <cellStyle name="Normal 7" xfId="206" xr:uid="{00000000-0005-0000-0000-0000CE000000}"/>
    <cellStyle name="Normal 7 2" xfId="207" xr:uid="{00000000-0005-0000-0000-0000CF000000}"/>
    <cellStyle name="Normal 8" xfId="208" xr:uid="{00000000-0005-0000-0000-0000D0000000}"/>
    <cellStyle name="Normal 8 2" xfId="209" xr:uid="{00000000-0005-0000-0000-0000D1000000}"/>
    <cellStyle name="Normal 9" xfId="210" xr:uid="{00000000-0005-0000-0000-0000D2000000}"/>
    <cellStyle name="Normal 9 2" xfId="211" xr:uid="{00000000-0005-0000-0000-0000D3000000}"/>
    <cellStyle name="Note 2" xfId="212" xr:uid="{00000000-0005-0000-0000-0000D4000000}"/>
    <cellStyle name="Note 2 2" xfId="213" xr:uid="{00000000-0005-0000-0000-0000D5000000}"/>
    <cellStyle name="Note 3" xfId="214" xr:uid="{00000000-0005-0000-0000-0000D6000000}"/>
    <cellStyle name="Note 3 2" xfId="215" xr:uid="{00000000-0005-0000-0000-0000D7000000}"/>
    <cellStyle name="Note 4" xfId="216" xr:uid="{00000000-0005-0000-0000-0000D8000000}"/>
    <cellStyle name="Note 4 2" xfId="217" xr:uid="{00000000-0005-0000-0000-0000D9000000}"/>
    <cellStyle name="Note 5" xfId="218" xr:uid="{00000000-0005-0000-0000-0000DA000000}"/>
    <cellStyle name="Note 6" xfId="219" xr:uid="{00000000-0005-0000-0000-0000DB000000}"/>
    <cellStyle name="Output 2" xfId="220" xr:uid="{00000000-0005-0000-0000-0000DC000000}"/>
    <cellStyle name="Procent 2" xfId="221" xr:uid="{00000000-0005-0000-0000-0000DD000000}"/>
    <cellStyle name="Title 2" xfId="222" xr:uid="{00000000-0005-0000-0000-0000DE000000}"/>
    <cellStyle name="Total 2" xfId="223" xr:uid="{00000000-0005-0000-0000-0000DF000000}"/>
    <cellStyle name="Warning Text 2" xfId="224" xr:uid="{00000000-0005-0000-0000-0000E0000000}"/>
  </cellStyles>
  <dxfs count="6">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patternType="lightGray">
          <fgColor theme="9"/>
          <bgColor theme="6" tint="0.39994506668294322"/>
        </patternFill>
      </fill>
    </dxf>
    <dxf>
      <font>
        <strike/>
        <color theme="0"/>
      </font>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241300</xdr:colOff>
      <xdr:row>78</xdr:row>
      <xdr:rowOff>107950</xdr:rowOff>
    </xdr:from>
    <xdr:to>
      <xdr:col>12</xdr:col>
      <xdr:colOff>0</xdr:colOff>
      <xdr:row>89</xdr:row>
      <xdr:rowOff>133350</xdr:rowOff>
    </xdr:to>
    <xdr:sp macro="" textlink="">
      <xdr:nvSpPr>
        <xdr:cNvPr id="2" name="TextBox 1">
          <a:extLst>
            <a:ext uri="{FF2B5EF4-FFF2-40B4-BE49-F238E27FC236}">
              <a16:creationId xmlns:a16="http://schemas.microsoft.com/office/drawing/2014/main" id="{B5E2F527-BD0C-317A-62AA-1EAC187BAB4F}"/>
            </a:ext>
          </a:extLst>
        </xdr:cNvPr>
        <xdr:cNvSpPr txBox="1"/>
      </xdr:nvSpPr>
      <xdr:spPr>
        <a:xfrm>
          <a:off x="3422650" y="9169400"/>
          <a:ext cx="5029200" cy="1771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solidFill>
                <a:schemeClr val="dk1"/>
              </a:solidFill>
              <a:effectLst/>
              <a:latin typeface="+mn-lt"/>
              <a:ea typeface="+mn-ea"/>
              <a:cs typeface="+mn-cs"/>
            </a:rPr>
            <a:t>De groene cellen in het tabblad Master zijn invoervelden. Cellen die voorzien zijn van een rood driehoekje tonen via een pop-up venster nadere uitleg. Door op de plustekens in de balk links te klikken worden verborgen rijen zichtbaar. Het plusje in de bovenbalk maakt een verborgen kolom zichtbaar die referenties naar wetsartikelen toont.</a:t>
          </a:r>
        </a:p>
        <a:p>
          <a:r>
            <a:rPr lang="nl-NL" sz="1100">
              <a:solidFill>
                <a:schemeClr val="dk1"/>
              </a:solidFill>
              <a:effectLst/>
              <a:latin typeface="+mn-lt"/>
              <a:ea typeface="+mn-ea"/>
              <a:cs typeface="+mn-cs"/>
            </a:rPr>
            <a:t>De kolom D kan o.a. gebruikt worden om extra (lege) kolommen in te voegen. Kolom F t/m L kunnen desgewenst gebruikt worden om een overzicht over alle jaren te genereren. De kolommen P t/m S zijn overgenomen uit de memorie van toelichting van het wetsvoorstel rechtsherstel box 3.</a:t>
          </a:r>
        </a:p>
        <a:p>
          <a:endParaRPr lang="nl-NL"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hyperlink" Target="https://statistiek.dnb.nl/downloads/index.aspx" TargetMode="External"/><Relationship Id="rId2" Type="http://schemas.openxmlformats.org/officeDocument/2006/relationships/hyperlink" Target="https://app2.msci.com/products/indexes/performance/regional_chart.html?asOf=Dec%2031,%202018&amp;size=36&amp;scope=R&amp;style=C&amp;currency=119&amp;priceLevel=40&amp;indexId=110" TargetMode="External"/><Relationship Id="rId1" Type="http://schemas.openxmlformats.org/officeDocument/2006/relationships/hyperlink" Target="https://opendata.cbs.nl/statline/"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pageSetUpPr autoPageBreaks="0"/>
  </sheetPr>
  <dimension ref="A1:Y77"/>
  <sheetViews>
    <sheetView tabSelected="1" workbookViewId="0">
      <selection activeCell="D7" sqref="D7"/>
    </sheetView>
  </sheetViews>
  <sheetFormatPr defaultColWidth="9.1796875" defaultRowHeight="12.5" outlineLevelRow="1" outlineLevelCol="1"/>
  <cols>
    <col min="1" max="1" width="4.54296875" style="1" customWidth="1"/>
    <col min="2" max="2" width="30.7265625" style="4" customWidth="1"/>
    <col min="3" max="3" width="17.26953125" style="3" hidden="1" customWidth="1" outlineLevel="1"/>
    <col min="4" max="4" width="10.26953125" style="146" customWidth="1" collapsed="1"/>
    <col min="5" max="5" width="3.54296875" customWidth="1"/>
    <col min="6" max="6" width="10.26953125" style="4" customWidth="1"/>
    <col min="7" max="12" width="10.26953125" style="4" customWidth="1" collapsed="1"/>
    <col min="13" max="13" width="3.54296875" style="5" customWidth="1"/>
    <col min="14" max="14" width="9.1796875" style="5"/>
    <col min="15" max="15" width="3.54296875" style="5" customWidth="1"/>
    <col min="16" max="19" width="10.26953125" style="4" customWidth="1" collapsed="1"/>
    <col min="20" max="16384" width="9.1796875" style="4"/>
  </cols>
  <sheetData>
    <row r="1" spans="1:19" ht="13">
      <c r="B1" s="2" t="s">
        <v>0</v>
      </c>
      <c r="D1" s="150"/>
      <c r="F1" s="144" t="s">
        <v>118</v>
      </c>
      <c r="G1" s="144"/>
      <c r="H1" s="143" t="s">
        <v>117</v>
      </c>
      <c r="I1" s="143"/>
      <c r="J1" s="143"/>
      <c r="K1" s="143"/>
      <c r="N1" s="139" t="s">
        <v>122</v>
      </c>
      <c r="P1" s="142" t="s">
        <v>116</v>
      </c>
      <c r="Q1" s="142"/>
      <c r="R1" s="142"/>
      <c r="S1" s="142"/>
    </row>
    <row r="2" spans="1:19" s="5" customFormat="1" ht="12.75" customHeight="1">
      <c r="A2" s="6" t="s">
        <v>119</v>
      </c>
      <c r="B2" s="7" t="s">
        <v>1</v>
      </c>
      <c r="C2" s="4"/>
      <c r="D2" s="145">
        <v>2020</v>
      </c>
      <c r="E2"/>
      <c r="F2" s="145">
        <v>2022</v>
      </c>
      <c r="G2" s="145">
        <v>2021</v>
      </c>
      <c r="H2" s="145">
        <v>2020</v>
      </c>
      <c r="I2" s="145">
        <v>2019</v>
      </c>
      <c r="J2" s="145">
        <v>2018</v>
      </c>
      <c r="K2" s="145">
        <v>2017</v>
      </c>
      <c r="L2" s="145">
        <v>2016</v>
      </c>
      <c r="P2" s="8">
        <v>2021</v>
      </c>
      <c r="Q2" s="8">
        <v>2021</v>
      </c>
      <c r="R2" s="8">
        <v>2021</v>
      </c>
      <c r="S2" s="8">
        <v>2021</v>
      </c>
    </row>
    <row r="3" spans="1:19" ht="6" customHeight="1">
      <c r="F3" s="146"/>
      <c r="G3" s="146"/>
      <c r="H3" s="146"/>
      <c r="I3" s="146"/>
      <c r="J3" s="146"/>
      <c r="K3" s="146"/>
      <c r="L3" s="146"/>
    </row>
    <row r="4" spans="1:19" s="5" customFormat="1">
      <c r="A4" s="6"/>
      <c r="B4" s="7" t="s">
        <v>2</v>
      </c>
      <c r="D4" s="145" t="s">
        <v>3</v>
      </c>
      <c r="E4"/>
      <c r="F4" s="145" t="s">
        <v>3</v>
      </c>
      <c r="G4" s="145" t="s">
        <v>3</v>
      </c>
      <c r="H4" s="145" t="s">
        <v>3</v>
      </c>
      <c r="I4" s="145" t="s">
        <v>3</v>
      </c>
      <c r="J4" s="145" t="s">
        <v>3</v>
      </c>
      <c r="K4" s="145" t="s">
        <v>3</v>
      </c>
      <c r="L4" s="145" t="s">
        <v>3</v>
      </c>
      <c r="P4" s="8" t="s">
        <v>3</v>
      </c>
      <c r="Q4" s="8" t="s">
        <v>3</v>
      </c>
      <c r="R4" s="8" t="s">
        <v>114</v>
      </c>
      <c r="S4" s="8" t="s">
        <v>114</v>
      </c>
    </row>
    <row r="5" spans="1:19">
      <c r="A5" s="1" t="s">
        <v>4</v>
      </c>
      <c r="B5" s="7" t="s">
        <v>5</v>
      </c>
      <c r="D5" s="147">
        <v>0.5</v>
      </c>
      <c r="F5" s="147">
        <v>0.5</v>
      </c>
      <c r="G5" s="147">
        <v>0.5</v>
      </c>
      <c r="H5" s="147">
        <v>0.5</v>
      </c>
      <c r="I5" s="147">
        <v>0.5</v>
      </c>
      <c r="J5" s="147">
        <v>0.5</v>
      </c>
      <c r="K5" s="147">
        <v>0.5</v>
      </c>
      <c r="L5" s="147">
        <v>0.5</v>
      </c>
      <c r="P5" s="9">
        <v>0.5</v>
      </c>
      <c r="Q5" s="9">
        <v>0.5</v>
      </c>
      <c r="R5" s="9">
        <v>0.5</v>
      </c>
      <c r="S5" s="9">
        <v>0.25</v>
      </c>
    </row>
    <row r="6" spans="1:19" ht="6" customHeight="1">
      <c r="F6" s="146"/>
      <c r="G6" s="146"/>
      <c r="H6" s="146"/>
      <c r="I6" s="146"/>
      <c r="J6" s="146"/>
      <c r="K6" s="146"/>
      <c r="L6" s="146"/>
    </row>
    <row r="7" spans="1:19" s="13" customFormat="1">
      <c r="A7" s="10" t="s">
        <v>6</v>
      </c>
      <c r="B7" s="7" t="s">
        <v>7</v>
      </c>
      <c r="C7" s="11"/>
      <c r="D7" s="148"/>
      <c r="E7"/>
      <c r="F7" s="148">
        <v>100000</v>
      </c>
      <c r="G7" s="148">
        <v>100000</v>
      </c>
      <c r="H7" s="148">
        <v>100000</v>
      </c>
      <c r="I7" s="148">
        <v>100000</v>
      </c>
      <c r="J7" s="148">
        <v>100000</v>
      </c>
      <c r="K7" s="148">
        <v>100000</v>
      </c>
      <c r="L7" s="148">
        <v>100000</v>
      </c>
      <c r="M7" s="5"/>
      <c r="N7" s="5"/>
      <c r="O7" s="5"/>
      <c r="P7" s="12">
        <v>110000</v>
      </c>
      <c r="Q7" s="12">
        <v>110000</v>
      </c>
      <c r="R7" s="12">
        <v>188000</v>
      </c>
      <c r="S7" s="12">
        <v>188000</v>
      </c>
    </row>
    <row r="8" spans="1:19" s="13" customFormat="1">
      <c r="A8" s="10" t="s">
        <v>6</v>
      </c>
      <c r="B8" s="7" t="s">
        <v>8</v>
      </c>
      <c r="C8" s="11"/>
      <c r="D8" s="148"/>
      <c r="E8"/>
      <c r="F8" s="148">
        <v>50000</v>
      </c>
      <c r="G8" s="148">
        <v>50000</v>
      </c>
      <c r="H8" s="148">
        <v>50000</v>
      </c>
      <c r="I8" s="148">
        <v>50000</v>
      </c>
      <c r="J8" s="148">
        <v>50000</v>
      </c>
      <c r="K8" s="148">
        <v>50000</v>
      </c>
      <c r="L8" s="148">
        <v>50000</v>
      </c>
      <c r="M8" s="5"/>
      <c r="N8" s="5"/>
      <c r="O8" s="5"/>
      <c r="P8" s="12">
        <v>100000</v>
      </c>
      <c r="Q8" s="12">
        <v>100000</v>
      </c>
      <c r="R8" s="12">
        <v>112000</v>
      </c>
      <c r="S8" s="12">
        <v>112000</v>
      </c>
    </row>
    <row r="9" spans="1:19" s="17" customFormat="1">
      <c r="A9" s="11" t="s">
        <v>6</v>
      </c>
      <c r="B9" s="14" t="s">
        <v>115</v>
      </c>
      <c r="C9" s="15"/>
      <c r="D9" s="149"/>
      <c r="E9"/>
      <c r="F9" s="149"/>
      <c r="G9" s="149"/>
      <c r="H9" s="149"/>
      <c r="I9" s="149"/>
      <c r="J9" s="149"/>
      <c r="K9" s="149"/>
      <c r="L9" s="149"/>
      <c r="M9" s="5"/>
      <c r="N9" s="5"/>
      <c r="O9" s="5"/>
      <c r="P9" s="16"/>
      <c r="Q9" s="16"/>
      <c r="R9" s="16"/>
      <c r="S9" s="16"/>
    </row>
    <row r="10" spans="1:19" s="13" customFormat="1" ht="13" thickBot="1">
      <c r="A10" s="10" t="s">
        <v>6</v>
      </c>
      <c r="B10" s="18" t="s">
        <v>9</v>
      </c>
      <c r="C10" s="19"/>
      <c r="D10" s="148"/>
      <c r="E10"/>
      <c r="F10" s="148"/>
      <c r="G10" s="148"/>
      <c r="H10" s="148"/>
      <c r="I10" s="148"/>
      <c r="J10" s="148"/>
      <c r="K10" s="148"/>
      <c r="L10" s="148"/>
      <c r="M10" s="5"/>
      <c r="N10" s="5"/>
      <c r="O10" s="5"/>
      <c r="P10" s="12">
        <v>13200</v>
      </c>
      <c r="Q10" s="12">
        <v>98200</v>
      </c>
      <c r="R10" s="12"/>
      <c r="S10" s="12"/>
    </row>
    <row r="11" spans="1:19" s="5" customFormat="1" ht="13.5" hidden="1" customHeight="1" thickBot="1">
      <c r="A11" s="6"/>
      <c r="D11" s="151"/>
      <c r="E11"/>
    </row>
    <row r="12" spans="1:19" s="5" customFormat="1" ht="13.5" hidden="1" customHeight="1" thickBot="1">
      <c r="A12" s="6"/>
      <c r="D12" s="151"/>
      <c r="E12"/>
    </row>
    <row r="13" spans="1:19" s="5" customFormat="1" ht="13.5" hidden="1" customHeight="1" thickBot="1">
      <c r="A13" s="6"/>
      <c r="D13" s="151"/>
      <c r="E13"/>
    </row>
    <row r="14" spans="1:19" s="5" customFormat="1" collapsed="1">
      <c r="A14" s="10" t="s">
        <v>6</v>
      </c>
      <c r="B14" s="5" t="s">
        <v>10</v>
      </c>
      <c r="D14" s="152">
        <f t="shared" ref="D14" si="0">SUM(D7:D8,-D10)</f>
        <v>0</v>
      </c>
      <c r="E14"/>
      <c r="F14" s="20">
        <f t="shared" ref="F14:L14" si="1">SUM(F7:F8,-F10)</f>
        <v>150000</v>
      </c>
      <c r="G14" s="20">
        <f t="shared" si="1"/>
        <v>150000</v>
      </c>
      <c r="H14" s="20">
        <f t="shared" si="1"/>
        <v>150000</v>
      </c>
      <c r="I14" s="20">
        <f t="shared" si="1"/>
        <v>150000</v>
      </c>
      <c r="J14" s="20">
        <f t="shared" si="1"/>
        <v>150000</v>
      </c>
      <c r="K14" s="20">
        <f t="shared" si="1"/>
        <v>150000</v>
      </c>
      <c r="L14" s="20">
        <f t="shared" si="1"/>
        <v>150000</v>
      </c>
      <c r="P14" s="20">
        <f t="shared" ref="P14:Q14" si="2">SUM(P7:P8,-P10)</f>
        <v>196800</v>
      </c>
      <c r="Q14" s="20">
        <f t="shared" si="2"/>
        <v>111800</v>
      </c>
      <c r="R14" s="20">
        <f t="shared" ref="R14" si="3">SUM(R7:R8,-R10)</f>
        <v>300000</v>
      </c>
      <c r="S14" s="20">
        <f t="shared" ref="S14" si="4">SUM(S7:S8,-S10)</f>
        <v>300000</v>
      </c>
    </row>
    <row r="15" spans="1:19" s="5" customFormat="1" ht="6" customHeight="1">
      <c r="A15" s="6"/>
      <c r="D15" s="151"/>
      <c r="E15"/>
    </row>
    <row r="16" spans="1:19" s="5" customFormat="1" ht="12.75" hidden="1" customHeight="1">
      <c r="A16" s="6"/>
      <c r="D16" s="151"/>
      <c r="E16"/>
    </row>
    <row r="17" spans="1:19" s="5" customFormat="1" hidden="1">
      <c r="A17" s="6"/>
      <c r="D17" s="151"/>
      <c r="E17"/>
    </row>
    <row r="18" spans="1:19" s="5" customFormat="1" hidden="1">
      <c r="A18" s="6"/>
      <c r="D18" s="151"/>
      <c r="E18"/>
    </row>
    <row r="19" spans="1:19" s="5" customFormat="1" hidden="1">
      <c r="A19" s="6"/>
      <c r="D19" s="151"/>
      <c r="E19"/>
    </row>
    <row r="20" spans="1:19" s="5" customFormat="1" ht="6" customHeight="1">
      <c r="A20" s="6"/>
      <c r="D20" s="151"/>
      <c r="E20"/>
    </row>
    <row r="21" spans="1:19" ht="13" collapsed="1">
      <c r="B21" s="2" t="s">
        <v>112</v>
      </c>
      <c r="D21" s="153"/>
      <c r="G21" s="137"/>
      <c r="H21" s="137"/>
      <c r="I21" s="137"/>
      <c r="J21" s="137"/>
      <c r="K21" s="137"/>
      <c r="L21" s="137"/>
      <c r="P21" s="137"/>
      <c r="Q21" s="137"/>
      <c r="R21" s="137"/>
      <c r="S21" s="137"/>
    </row>
    <row r="22" spans="1:19" s="134" customFormat="1" hidden="1" outlineLevel="1">
      <c r="A22" s="131"/>
      <c r="B22" s="132" t="s">
        <v>120</v>
      </c>
      <c r="C22" s="133"/>
      <c r="D22" s="154"/>
      <c r="E22"/>
      <c r="M22" s="135"/>
      <c r="N22" s="135"/>
      <c r="O22" s="135"/>
    </row>
    <row r="23" spans="1:19" s="24" customFormat="1" hidden="1" outlineLevel="1">
      <c r="A23" s="21" t="s">
        <v>4</v>
      </c>
      <c r="B23" s="22" t="s">
        <v>11</v>
      </c>
      <c r="C23" s="23"/>
      <c r="D23" s="155">
        <f>IF(D4="ja",D5,1)*D56</f>
        <v>0</v>
      </c>
      <c r="E23"/>
      <c r="F23" s="10">
        <f t="shared" ref="F23:L23" si="5">IF(F4="ja",F5,1)*F56</f>
        <v>99350</v>
      </c>
      <c r="G23" s="10">
        <f t="shared" si="5"/>
        <v>100000</v>
      </c>
      <c r="H23" s="10">
        <f t="shared" si="5"/>
        <v>119154</v>
      </c>
      <c r="I23" s="10">
        <f t="shared" si="5"/>
        <v>119640</v>
      </c>
      <c r="J23" s="10">
        <f t="shared" si="5"/>
        <v>120000</v>
      </c>
      <c r="K23" s="10">
        <f t="shared" si="5"/>
        <v>125000</v>
      </c>
      <c r="L23" s="10">
        <f t="shared" si="5"/>
        <v>125563</v>
      </c>
      <c r="M23" s="5"/>
      <c r="N23" s="5"/>
      <c r="O23" s="5"/>
      <c r="P23" s="10">
        <f>IF(P4="ja",P5,1)*P56</f>
        <v>150000</v>
      </c>
      <c r="Q23" s="10">
        <f>IF(Q4="ja",Q5,1)*Q56</f>
        <v>65000</v>
      </c>
      <c r="R23" s="10">
        <f>IF(R4="ja",R5,1)*R56</f>
        <v>100000</v>
      </c>
      <c r="S23" s="10">
        <f>IF(S4="ja",S5,1)*S56</f>
        <v>50000</v>
      </c>
    </row>
    <row r="24" spans="1:19" s="13" customFormat="1" hidden="1" outlineLevel="1">
      <c r="A24" s="10" t="s">
        <v>4</v>
      </c>
      <c r="B24" s="10" t="s">
        <v>12</v>
      </c>
      <c r="C24" s="11"/>
      <c r="D24" s="155">
        <f>FLOOR(MAX(D23-D$68,0)*D$69,1)+FLOOR(MIN(MAX(D23-D$65,0)*D$66,D$67),1)+FLOOR(MIN(MAX(D23-D$62)*D$63,D$64),1)</f>
        <v>0</v>
      </c>
      <c r="E24"/>
      <c r="F24" s="10">
        <f t="shared" ref="F24:L24" si="6">FLOOR(MAX(F23-F$68,0)*F$69,1)+FLOOR(MIN(MAX(F23-F$65,0)*F$66,F$67),1)+FLOOR(MIN(MAX(F23-F$62)*F$63,F$64),1)</f>
        <v>3046</v>
      </c>
      <c r="G24" s="10">
        <f t="shared" si="6"/>
        <v>3198</v>
      </c>
      <c r="H24" s="10">
        <f t="shared" si="6"/>
        <v>3242</v>
      </c>
      <c r="I24" s="10">
        <f t="shared" si="6"/>
        <v>3516</v>
      </c>
      <c r="J24" s="10">
        <f t="shared" si="6"/>
        <v>3555</v>
      </c>
      <c r="K24" s="10">
        <f t="shared" si="6"/>
        <v>4453</v>
      </c>
      <c r="L24" s="10">
        <f t="shared" si="6"/>
        <v>5022</v>
      </c>
      <c r="M24" s="5"/>
      <c r="N24" s="5"/>
      <c r="O24" s="5"/>
      <c r="P24" s="10">
        <f>FLOOR(MAX(P23-P$68,0)*P$69,1)+FLOOR(MIN(MAX(P23-P$65,0)*P$66,P$67),1)+FLOOR(MIN(MAX(P23-P$62)*P$63,P$64),1)</f>
        <v>5449</v>
      </c>
      <c r="Q24" s="10">
        <f>FLOOR(MAX(Q23-Q$68,0)*Q$69,1)+FLOOR(MIN(MAX(Q23-Q$65,0)*Q$66,Q$67),1)+FLOOR(MIN(MAX(Q23-Q$62)*Q$63,Q$64),1)</f>
        <v>1623</v>
      </c>
      <c r="R24" s="10">
        <f>FLOOR(MAX(R23-R$68,0)*R$69,1)+FLOOR(MIN(MAX(R23-R$65,0)*R$66,R$67),1)+FLOOR(MIN(MAX(R23-R$62)*R$63,R$64),1)</f>
        <v>3198</v>
      </c>
      <c r="S24" s="10">
        <f>FLOOR(MAX(S23-S$68,0)*S$69,1)+FLOOR(MIN(MAX(S23-S$65,0)*S$66,S$67),1)+FLOOR(MIN(MAX(S23-S$62)*S$63,S$64),1)</f>
        <v>948</v>
      </c>
    </row>
    <row r="25" spans="1:19" s="24" customFormat="1" hidden="1" outlineLevel="1">
      <c r="A25" s="10" t="s">
        <v>4</v>
      </c>
      <c r="B25" s="22" t="s">
        <v>13</v>
      </c>
      <c r="C25" s="25"/>
      <c r="D25" s="155">
        <f>FLOOR(INDEX(Data!$86:$86,,D52)*D24,1)</f>
        <v>0</v>
      </c>
      <c r="E25"/>
      <c r="F25" s="10">
        <f>FLOOR(INDEX(Data!$86:$86,,F52)*F24,1)</f>
        <v>944</v>
      </c>
      <c r="G25" s="10">
        <f>FLOOR(INDEX(Data!$86:$86,,G52)*G24,1)</f>
        <v>991</v>
      </c>
      <c r="H25" s="10">
        <f>FLOOR(INDEX(Data!$86:$86,,H52)*H24,1)</f>
        <v>972</v>
      </c>
      <c r="I25" s="10">
        <f>FLOOR(INDEX(Data!$86:$86,,I52)*I24,1)</f>
        <v>1054</v>
      </c>
      <c r="J25" s="10">
        <f>FLOOR(INDEX(Data!$86:$86,,J52)*J24,1)</f>
        <v>1066</v>
      </c>
      <c r="K25" s="10">
        <f>FLOOR(INDEX(Data!$86:$86,,K52)*K24,1)</f>
        <v>1335</v>
      </c>
      <c r="L25" s="10">
        <f>FLOOR(INDEX(Data!$86:$86,,L52)*L24,1)</f>
        <v>1506</v>
      </c>
      <c r="M25" s="5"/>
      <c r="N25" s="5"/>
      <c r="O25" s="5"/>
      <c r="P25" s="10">
        <f>FLOOR(INDEX(Data!$86:$86,,P52)*P24,1)</f>
        <v>1689</v>
      </c>
      <c r="Q25" s="10">
        <f>FLOOR(INDEX(Data!$86:$86,,Q52)*Q24,1)</f>
        <v>503</v>
      </c>
      <c r="R25" s="10">
        <f>FLOOR(INDEX(Data!$86:$86,,R52)*R24,1)</f>
        <v>991</v>
      </c>
      <c r="S25" s="10">
        <f>FLOOR(INDEX(Data!$86:$86,,S52)*S24,1)</f>
        <v>293</v>
      </c>
    </row>
    <row r="26" spans="1:19" ht="6" hidden="1" customHeight="1" outlineLevel="1"/>
    <row r="27" spans="1:19" s="24" customFormat="1" hidden="1" outlineLevel="1">
      <c r="A27" s="21" t="s">
        <v>14</v>
      </c>
      <c r="B27" s="22" t="str">
        <f>B23</f>
        <v>Grondslag (toegedeeld)</v>
      </c>
      <c r="C27" s="23"/>
      <c r="D27" s="155">
        <f>IF(D4="ja",1-D5,0)*D56</f>
        <v>0</v>
      </c>
      <c r="E27"/>
      <c r="F27" s="10">
        <f t="shared" ref="F27:L27" si="7">IF(F4="ja",1-F5,0)*F56</f>
        <v>0</v>
      </c>
      <c r="G27" s="10">
        <f t="shared" si="7"/>
        <v>0</v>
      </c>
      <c r="H27" s="10">
        <f t="shared" si="7"/>
        <v>0</v>
      </c>
      <c r="I27" s="10">
        <f t="shared" si="7"/>
        <v>0</v>
      </c>
      <c r="J27" s="10">
        <f t="shared" si="7"/>
        <v>0</v>
      </c>
      <c r="K27" s="10">
        <f t="shared" si="7"/>
        <v>0</v>
      </c>
      <c r="L27" s="10">
        <f t="shared" si="7"/>
        <v>0</v>
      </c>
      <c r="M27" s="5"/>
      <c r="N27" s="5"/>
      <c r="O27" s="5"/>
      <c r="P27" s="10">
        <f>IF(P4="ja",1-P5,0)*P56</f>
        <v>0</v>
      </c>
      <c r="Q27" s="10">
        <f>IF(Q4="ja",1-Q5,0)*Q56</f>
        <v>0</v>
      </c>
      <c r="R27" s="10">
        <f>IF(R4="ja",1-R5,0)*R56</f>
        <v>100000</v>
      </c>
      <c r="S27" s="10">
        <f>IF(S4="ja",1-S5,0)*S56</f>
        <v>150000</v>
      </c>
    </row>
    <row r="28" spans="1:19" s="13" customFormat="1" hidden="1" outlineLevel="1">
      <c r="A28" s="10" t="s">
        <v>14</v>
      </c>
      <c r="B28" s="10" t="str">
        <f>B24</f>
        <v>Voordeel uit sparen en beleggen</v>
      </c>
      <c r="C28" s="11"/>
      <c r="D28" s="155">
        <f>FLOOR(MAX(D27-D$68,0)*D$69+MIN(MAX(D27-D$65,0)*D$66,D$67)+MIN(MAX(D27-D$62)*D$63,D$64),1)</f>
        <v>0</v>
      </c>
      <c r="E28"/>
      <c r="F28" s="10">
        <f t="shared" ref="F28:L28" si="8">FLOOR(MAX(F27-F$68,0)*F$69+MIN(MAX(F27-F$65,0)*F$66,F$67)+MIN(MAX(F27-F$62)*F$63,F$64),1)</f>
        <v>0</v>
      </c>
      <c r="G28" s="10">
        <f t="shared" si="8"/>
        <v>0</v>
      </c>
      <c r="H28" s="10">
        <f t="shared" si="8"/>
        <v>0</v>
      </c>
      <c r="I28" s="10">
        <f t="shared" si="8"/>
        <v>0</v>
      </c>
      <c r="J28" s="10">
        <f t="shared" si="8"/>
        <v>0</v>
      </c>
      <c r="K28" s="10">
        <f t="shared" si="8"/>
        <v>0</v>
      </c>
      <c r="L28" s="10">
        <f t="shared" si="8"/>
        <v>0</v>
      </c>
      <c r="M28" s="5"/>
      <c r="N28" s="5"/>
      <c r="O28" s="5"/>
      <c r="P28" s="10">
        <f>FLOOR(MAX(P27-P$68,0)*P$69+MIN(MAX(P27-P$65,0)*P$66,P$67)+MIN(MAX(P27-P$62)*P$63,P$64),1)</f>
        <v>0</v>
      </c>
      <c r="Q28" s="10">
        <f>FLOOR(MAX(Q27-Q$68,0)*Q$69+MIN(MAX(Q27-Q$65,0)*Q$66,Q$67)+MIN(MAX(Q27-Q$62)*Q$63,Q$64),1)</f>
        <v>0</v>
      </c>
      <c r="R28" s="10">
        <f>FLOOR(MAX(R27-R$68,0)*R$69+MIN(MAX(R27-R$65,0)*R$66,R$67)+MIN(MAX(R27-R$62)*R$63,R$64),1)</f>
        <v>3199</v>
      </c>
      <c r="S28" s="10">
        <f>FLOOR(MAX(S27-S$68,0)*S$69+MIN(MAX(S27-S$65,0)*S$66,S$67)+MIN(MAX(S27-S$62)*S$63,S$64),1)</f>
        <v>5450</v>
      </c>
    </row>
    <row r="29" spans="1:19" s="24" customFormat="1" hidden="1" outlineLevel="1">
      <c r="A29" s="10" t="s">
        <v>14</v>
      </c>
      <c r="B29" s="22" t="str">
        <f>B25</f>
        <v>Inkomstenbelasting Box 3</v>
      </c>
      <c r="C29" s="25"/>
      <c r="D29" s="155">
        <f>FLOOR(INDEX(Data!$86:$86,,D52)*D28,1)</f>
        <v>0</v>
      </c>
      <c r="E29"/>
      <c r="F29" s="10">
        <f>FLOOR(INDEX(Data!$86:$86,,F52)*F28,1)</f>
        <v>0</v>
      </c>
      <c r="G29" s="10">
        <f>FLOOR(INDEX(Data!$86:$86,,G52)*G28,1)</f>
        <v>0</v>
      </c>
      <c r="H29" s="10">
        <f>FLOOR(INDEX(Data!$86:$86,,H52)*H28,1)</f>
        <v>0</v>
      </c>
      <c r="I29" s="10">
        <f>FLOOR(INDEX(Data!$86:$86,,I52)*I28,1)</f>
        <v>0</v>
      </c>
      <c r="J29" s="10">
        <f>FLOOR(INDEX(Data!$86:$86,,J52)*J28,1)</f>
        <v>0</v>
      </c>
      <c r="K29" s="10">
        <f>FLOOR(INDEX(Data!$86:$86,,K52)*K28,1)</f>
        <v>0</v>
      </c>
      <c r="L29" s="10">
        <f>FLOOR(INDEX(Data!$86:$86,,L52)*L28,1)</f>
        <v>0</v>
      </c>
      <c r="M29" s="5"/>
      <c r="N29" s="5"/>
      <c r="O29" s="5"/>
      <c r="P29" s="10">
        <f>FLOOR(INDEX(Data!$86:$86,,P52)*P28,1)</f>
        <v>0</v>
      </c>
      <c r="Q29" s="10">
        <f>FLOOR(INDEX(Data!$86:$86,,Q52)*Q28,1)</f>
        <v>0</v>
      </c>
      <c r="R29" s="10">
        <f>FLOOR(INDEX(Data!$86:$86,,R52)*R28,1)</f>
        <v>991</v>
      </c>
      <c r="S29" s="10">
        <f>FLOOR(INDEX(Data!$86:$86,,S52)*S28,1)</f>
        <v>1689</v>
      </c>
    </row>
    <row r="30" spans="1:19" ht="6" hidden="1" customHeight="1" outlineLevel="1">
      <c r="A30" s="26"/>
      <c r="D30" s="156"/>
      <c r="F30" s="27"/>
      <c r="G30" s="27"/>
      <c r="H30" s="27"/>
      <c r="I30" s="27"/>
      <c r="J30" s="27"/>
      <c r="K30" s="27"/>
      <c r="L30" s="27"/>
      <c r="P30" s="27"/>
      <c r="Q30" s="27"/>
      <c r="R30" s="27"/>
      <c r="S30" s="27"/>
    </row>
    <row r="31" spans="1:19" s="134" customFormat="1" hidden="1" outlineLevel="1">
      <c r="A31" s="131"/>
      <c r="B31" s="132" t="s">
        <v>113</v>
      </c>
      <c r="C31" s="133"/>
      <c r="D31" s="154"/>
      <c r="E31"/>
      <c r="M31" s="135"/>
      <c r="N31" s="135"/>
      <c r="O31" s="135"/>
    </row>
    <row r="32" spans="1:19" hidden="1" outlineLevel="1">
      <c r="A32" s="10" t="s">
        <v>4</v>
      </c>
      <c r="B32" s="28" t="str">
        <f>B24</f>
        <v>Voordeel uit sparen en beleggen</v>
      </c>
      <c r="D32" s="157">
        <f>FLOOR(D$76*D23,1)</f>
        <v>0</v>
      </c>
      <c r="F32" s="28">
        <f t="shared" ref="F32:L32" si="9">FLOOR(F$76*F23,1)</f>
        <v>1837</v>
      </c>
      <c r="G32" s="28">
        <f t="shared" si="9"/>
        <v>1903</v>
      </c>
      <c r="H32" s="28">
        <f t="shared" si="9"/>
        <v>2128</v>
      </c>
      <c r="I32" s="28">
        <f t="shared" si="9"/>
        <v>2293</v>
      </c>
      <c r="J32" s="28">
        <f t="shared" si="9"/>
        <v>2248</v>
      </c>
      <c r="K32" s="28">
        <f t="shared" si="9"/>
        <v>2454</v>
      </c>
      <c r="L32" s="28">
        <f t="shared" si="9"/>
        <v>0</v>
      </c>
      <c r="P32" s="28">
        <f>FLOOR(P$76*P23,1)</f>
        <v>4091</v>
      </c>
      <c r="Q32" s="28">
        <f>FLOOR(Q$76*Q23,1)</f>
        <v>1901</v>
      </c>
      <c r="R32" s="28">
        <f>FLOOR(R$76*R23,1)</f>
        <v>2130</v>
      </c>
      <c r="S32" s="28">
        <f>FLOOR(S$76*S23,1)</f>
        <v>1065</v>
      </c>
    </row>
    <row r="33" spans="1:19" s="24" customFormat="1" hidden="1" outlineLevel="1">
      <c r="A33" s="10" t="s">
        <v>4</v>
      </c>
      <c r="B33" s="22" t="s">
        <v>13</v>
      </c>
      <c r="C33" s="25"/>
      <c r="D33" s="155">
        <f>FLOOR(INDEX(Data!$86:$86,,D$52)*D32,1)</f>
        <v>0</v>
      </c>
      <c r="E33"/>
      <c r="F33" s="10">
        <f>FLOOR(INDEX(Data!$86:$86,,F$52)*F32,1)</f>
        <v>569</v>
      </c>
      <c r="G33" s="10">
        <f>FLOOR(INDEX(Data!$86:$86,,G$52)*G32,1)</f>
        <v>589</v>
      </c>
      <c r="H33" s="10">
        <f>FLOOR(INDEX(Data!$86:$86,,H$52)*H32,1)</f>
        <v>638</v>
      </c>
      <c r="I33" s="10">
        <f>FLOOR(INDEX(Data!$86:$86,,I$52)*I32,1)</f>
        <v>687</v>
      </c>
      <c r="J33" s="10">
        <f>FLOOR(INDEX(Data!$86:$86,,J$52)*J32,1)</f>
        <v>674</v>
      </c>
      <c r="K33" s="10">
        <f>FLOOR(INDEX(Data!$86:$86,,K$52)*K32,1)</f>
        <v>736</v>
      </c>
      <c r="L33" s="10">
        <f>FLOOR(INDEX(Data!$86:$86,,L$52)*L32,1)</f>
        <v>0</v>
      </c>
      <c r="M33" s="5"/>
      <c r="N33" s="5"/>
      <c r="O33" s="5"/>
      <c r="P33" s="10">
        <f>FLOOR(INDEX(Data!$86:$86,,P$52)*P32,1)</f>
        <v>1268</v>
      </c>
      <c r="Q33" s="10">
        <f>FLOOR(INDEX(Data!$86:$86,,Q$52)*Q32,1)</f>
        <v>589</v>
      </c>
      <c r="R33" s="10">
        <f>FLOOR(INDEX(Data!$86:$86,,R$52)*R32,1)</f>
        <v>660</v>
      </c>
      <c r="S33" s="10">
        <f>FLOOR(INDEX(Data!$86:$86,,S$52)*S32,1)</f>
        <v>330</v>
      </c>
    </row>
    <row r="34" spans="1:19" ht="6" hidden="1" customHeight="1" outlineLevel="1"/>
    <row r="35" spans="1:19" hidden="1" outlineLevel="1">
      <c r="A35" s="10" t="s">
        <v>14</v>
      </c>
      <c r="B35" s="28" t="str">
        <f>B28</f>
        <v>Voordeel uit sparen en beleggen</v>
      </c>
      <c r="D35" s="157">
        <f>FLOOR(D$76*D27,1)</f>
        <v>0</v>
      </c>
      <c r="F35" s="28">
        <f t="shared" ref="F35:L35" si="10">FLOOR(F$76*F27,1)</f>
        <v>0</v>
      </c>
      <c r="G35" s="28">
        <f t="shared" si="10"/>
        <v>0</v>
      </c>
      <c r="H35" s="28">
        <f t="shared" si="10"/>
        <v>0</v>
      </c>
      <c r="I35" s="28">
        <f t="shared" si="10"/>
        <v>0</v>
      </c>
      <c r="J35" s="28">
        <f t="shared" si="10"/>
        <v>0</v>
      </c>
      <c r="K35" s="28">
        <f t="shared" si="10"/>
        <v>0</v>
      </c>
      <c r="L35" s="28">
        <f t="shared" si="10"/>
        <v>0</v>
      </c>
      <c r="P35" s="28">
        <f>FLOOR(P$76*P27,1)</f>
        <v>0</v>
      </c>
      <c r="Q35" s="28">
        <f>FLOOR(Q$76*Q27,1)</f>
        <v>0</v>
      </c>
      <c r="R35" s="28">
        <f>FLOOR(R$76*R27,1)</f>
        <v>2130</v>
      </c>
      <c r="S35" s="28">
        <f>FLOOR(S$76*S27,1)</f>
        <v>3195</v>
      </c>
    </row>
    <row r="36" spans="1:19" s="24" customFormat="1" hidden="1" outlineLevel="1">
      <c r="A36" s="10" t="s">
        <v>14</v>
      </c>
      <c r="B36" s="22" t="str">
        <f>B33</f>
        <v>Inkomstenbelasting Box 3</v>
      </c>
      <c r="C36" s="25"/>
      <c r="D36" s="155">
        <f>FLOOR(INDEX(Data!$86:$86,,D$52)*D35,1)</f>
        <v>0</v>
      </c>
      <c r="E36"/>
      <c r="F36" s="10">
        <f>FLOOR(INDEX(Data!$86:$86,,F$52)*F35,1)</f>
        <v>0</v>
      </c>
      <c r="G36" s="10">
        <f>FLOOR(INDEX(Data!$86:$86,,G$52)*G35,1)</f>
        <v>0</v>
      </c>
      <c r="H36" s="10">
        <f>FLOOR(INDEX(Data!$86:$86,,H$52)*H35,1)</f>
        <v>0</v>
      </c>
      <c r="I36" s="10">
        <f>FLOOR(INDEX(Data!$86:$86,,I$52)*I35,1)</f>
        <v>0</v>
      </c>
      <c r="J36" s="10">
        <f>FLOOR(INDEX(Data!$86:$86,,J$52)*J35,1)</f>
        <v>0</v>
      </c>
      <c r="K36" s="10">
        <f>FLOOR(INDEX(Data!$86:$86,,K$52)*K35,1)</f>
        <v>0</v>
      </c>
      <c r="L36" s="10">
        <f>FLOOR(INDEX(Data!$86:$86,,L$52)*L35,1)</f>
        <v>0</v>
      </c>
      <c r="M36" s="5"/>
      <c r="N36" s="5"/>
      <c r="O36" s="5"/>
      <c r="P36" s="10">
        <f>FLOOR(INDEX(Data!$86:$86,,P$52)*P35,1)</f>
        <v>0</v>
      </c>
      <c r="Q36" s="10">
        <f>FLOOR(INDEX(Data!$86:$86,,Q$52)*Q35,1)</f>
        <v>0</v>
      </c>
      <c r="R36" s="10">
        <f>FLOOR(INDEX(Data!$86:$86,,R$52)*R35,1)</f>
        <v>660</v>
      </c>
      <c r="S36" s="10">
        <f>FLOOR(INDEX(Data!$86:$86,,S$52)*S35,1)</f>
        <v>990</v>
      </c>
    </row>
    <row r="37" spans="1:19" s="24" customFormat="1" hidden="1">
      <c r="A37" s="10"/>
      <c r="B37" s="22"/>
      <c r="C37" s="25"/>
      <c r="D37" s="155"/>
      <c r="E37"/>
      <c r="F37" s="10"/>
      <c r="G37" s="10"/>
      <c r="H37" s="10"/>
      <c r="I37" s="10"/>
      <c r="J37" s="10"/>
      <c r="K37" s="10"/>
      <c r="L37" s="10"/>
      <c r="M37" s="5"/>
      <c r="N37" s="5"/>
      <c r="O37" s="5"/>
      <c r="P37" s="10"/>
      <c r="Q37" s="10"/>
      <c r="R37" s="10"/>
      <c r="S37" s="10"/>
    </row>
    <row r="38" spans="1:19" s="24" customFormat="1" hidden="1">
      <c r="A38" s="10"/>
      <c r="B38" s="22"/>
      <c r="C38" s="25"/>
      <c r="D38" s="155"/>
      <c r="E38"/>
      <c r="F38" s="10"/>
      <c r="G38" s="10"/>
      <c r="H38" s="10"/>
      <c r="I38" s="10"/>
      <c r="J38" s="10"/>
      <c r="K38" s="10"/>
      <c r="L38" s="10"/>
      <c r="M38" s="5"/>
      <c r="N38" s="5"/>
      <c r="O38" s="5"/>
      <c r="P38" s="10"/>
      <c r="Q38" s="10"/>
      <c r="R38" s="10"/>
      <c r="S38" s="10"/>
    </row>
    <row r="39" spans="1:19" s="24" customFormat="1" hidden="1">
      <c r="A39" s="10"/>
      <c r="B39" s="22"/>
      <c r="C39" s="25"/>
      <c r="D39" s="155"/>
      <c r="E39"/>
      <c r="F39" s="10"/>
      <c r="G39" s="10"/>
      <c r="H39" s="10"/>
      <c r="I39" s="10"/>
      <c r="J39" s="10"/>
      <c r="K39" s="10"/>
      <c r="L39" s="10"/>
      <c r="M39" s="5"/>
      <c r="N39" s="5"/>
      <c r="O39" s="5"/>
      <c r="P39" s="10"/>
      <c r="Q39" s="10"/>
      <c r="R39" s="10"/>
      <c r="S39" s="10"/>
    </row>
    <row r="41" spans="1:19" ht="13">
      <c r="B41" s="2" t="s">
        <v>111</v>
      </c>
    </row>
    <row r="42" spans="1:19">
      <c r="A42" s="1" t="s">
        <v>6</v>
      </c>
      <c r="B42" s="4" t="s">
        <v>15</v>
      </c>
      <c r="D42" s="157">
        <f t="shared" ref="D42" si="11">D25+D29</f>
        <v>0</v>
      </c>
      <c r="F42" s="28">
        <f t="shared" ref="F42:L42" si="12">F25+F29</f>
        <v>944</v>
      </c>
      <c r="G42" s="28">
        <f t="shared" si="12"/>
        <v>991</v>
      </c>
      <c r="H42" s="28">
        <f t="shared" si="12"/>
        <v>972</v>
      </c>
      <c r="I42" s="28">
        <f t="shared" si="12"/>
        <v>1054</v>
      </c>
      <c r="J42" s="28">
        <f t="shared" si="12"/>
        <v>1066</v>
      </c>
      <c r="K42" s="28">
        <f t="shared" si="12"/>
        <v>1335</v>
      </c>
      <c r="L42" s="28">
        <f t="shared" si="12"/>
        <v>1506</v>
      </c>
      <c r="N42" s="67">
        <f>SUM(H42:K42)</f>
        <v>4427</v>
      </c>
      <c r="P42" s="28">
        <f t="shared" ref="P42:Q42" si="13">P25+P29</f>
        <v>1689</v>
      </c>
      <c r="Q42" s="28">
        <f t="shared" si="13"/>
        <v>503</v>
      </c>
      <c r="R42" s="28">
        <f t="shared" ref="R42" si="14">R25+R29</f>
        <v>1982</v>
      </c>
      <c r="S42" s="28">
        <f t="shared" ref="S42" si="15">S25+S29</f>
        <v>1982</v>
      </c>
    </row>
    <row r="43" spans="1:19" ht="13" thickBot="1">
      <c r="A43" s="1" t="s">
        <v>6</v>
      </c>
      <c r="B43" s="4" t="s">
        <v>121</v>
      </c>
      <c r="D43" s="157">
        <f t="shared" ref="D43" si="16">MIN(D33,D25)+MIN(D36,D29)</f>
        <v>0</v>
      </c>
      <c r="F43" s="28">
        <f t="shared" ref="F43:L43" si="17">MIN(F33,F25)+MIN(F36,F29)</f>
        <v>569</v>
      </c>
      <c r="G43" s="28">
        <f t="shared" si="17"/>
        <v>589</v>
      </c>
      <c r="H43" s="28">
        <f t="shared" si="17"/>
        <v>638</v>
      </c>
      <c r="I43" s="28">
        <f t="shared" si="17"/>
        <v>687</v>
      </c>
      <c r="J43" s="28">
        <f t="shared" si="17"/>
        <v>674</v>
      </c>
      <c r="K43" s="28">
        <f t="shared" si="17"/>
        <v>736</v>
      </c>
      <c r="L43" s="28">
        <f t="shared" si="17"/>
        <v>0</v>
      </c>
      <c r="N43" s="67">
        <f t="shared" ref="N43:N44" si="18">SUM(H43:K43)</f>
        <v>2735</v>
      </c>
      <c r="P43" s="28">
        <f t="shared" ref="P43:Q43" si="19">MIN(P33,P25)+MIN(P36,P29)</f>
        <v>1268</v>
      </c>
      <c r="Q43" s="28">
        <f t="shared" si="19"/>
        <v>503</v>
      </c>
      <c r="R43" s="28">
        <f>MIN(R33,R25)+MIN(R36,R29)</f>
        <v>1320</v>
      </c>
      <c r="S43" s="28">
        <f>MIN(S33,S25)+MIN(S36,S29)</f>
        <v>1283</v>
      </c>
    </row>
    <row r="44" spans="1:19">
      <c r="A44" s="1" t="s">
        <v>6</v>
      </c>
      <c r="B44" s="4" t="s">
        <v>16</v>
      </c>
      <c r="D44" s="158" t="str">
        <f t="shared" ref="D44" si="20">IF(AND(D43&lt;=D42,D42&lt;&gt;0,D43&lt;&gt;0),D42-D43,"---")</f>
        <v>---</v>
      </c>
      <c r="F44" s="29">
        <f t="shared" ref="F44:L44" si="21">IF(AND(F43&lt;=F42,F42&lt;&gt;0,F43&lt;&gt;0),F42-F43,"---")</f>
        <v>375</v>
      </c>
      <c r="G44" s="29">
        <f t="shared" si="21"/>
        <v>402</v>
      </c>
      <c r="H44" s="29">
        <f t="shared" si="21"/>
        <v>334</v>
      </c>
      <c r="I44" s="29">
        <f t="shared" si="21"/>
        <v>367</v>
      </c>
      <c r="J44" s="29">
        <f t="shared" si="21"/>
        <v>392</v>
      </c>
      <c r="K44" s="29">
        <f t="shared" si="21"/>
        <v>599</v>
      </c>
      <c r="L44" s="29" t="str">
        <f t="shared" si="21"/>
        <v>---</v>
      </c>
      <c r="N44" s="20">
        <f t="shared" si="18"/>
        <v>1692</v>
      </c>
      <c r="P44" s="29">
        <f t="shared" ref="P44:Q44" si="22">IF(AND(P43&lt;=P42,P42&lt;&gt;0,P43&lt;&gt;0),P42-P43,"---")</f>
        <v>421</v>
      </c>
      <c r="Q44" s="29">
        <f t="shared" si="22"/>
        <v>0</v>
      </c>
      <c r="R44" s="29">
        <f t="shared" ref="R44" si="23">IF(AND(R43&lt;=R42,R42&lt;&gt;0,R43&lt;&gt;0),R42-R43,"---")</f>
        <v>662</v>
      </c>
      <c r="S44" s="29">
        <f t="shared" ref="S44" si="24">IF(AND(S43&lt;=S42,S42&lt;&gt;0,S43&lt;&gt;0),S42-S43,"---")</f>
        <v>699</v>
      </c>
    </row>
    <row r="45" spans="1:19" ht="6" customHeight="1">
      <c r="D45" s="159"/>
      <c r="F45" s="140"/>
      <c r="G45" s="140"/>
      <c r="H45" s="140"/>
      <c r="I45" s="140"/>
      <c r="J45" s="140"/>
      <c r="K45" s="140"/>
      <c r="L45" s="140"/>
      <c r="N45" s="141"/>
      <c r="P45" s="140"/>
      <c r="Q45" s="140"/>
      <c r="R45" s="140"/>
      <c r="S45" s="140"/>
    </row>
    <row r="46" spans="1:19" hidden="1">
      <c r="D46" s="159"/>
      <c r="F46" s="140"/>
      <c r="G46" s="140"/>
      <c r="H46" s="140"/>
      <c r="I46" s="140"/>
      <c r="J46" s="140"/>
      <c r="K46" s="140"/>
      <c r="L46" s="140"/>
      <c r="N46" s="141"/>
      <c r="P46" s="140"/>
      <c r="Q46" s="140"/>
      <c r="R46" s="140"/>
      <c r="S46" s="140"/>
    </row>
    <row r="47" spans="1:19" hidden="1">
      <c r="D47" s="159"/>
      <c r="F47" s="140"/>
      <c r="G47" s="140"/>
      <c r="H47" s="140"/>
      <c r="I47" s="140"/>
      <c r="J47" s="140"/>
      <c r="K47" s="140"/>
      <c r="L47" s="140"/>
      <c r="N47" s="141"/>
      <c r="P47" s="140"/>
      <c r="Q47" s="140"/>
      <c r="R47" s="140"/>
      <c r="S47" s="140"/>
    </row>
    <row r="48" spans="1:19" hidden="1">
      <c r="D48" s="159"/>
      <c r="F48" s="140"/>
      <c r="G48" s="140"/>
      <c r="H48" s="140"/>
      <c r="I48" s="140"/>
      <c r="J48" s="140"/>
      <c r="K48" s="140"/>
      <c r="L48" s="140"/>
      <c r="N48" s="141"/>
      <c r="P48" s="140"/>
      <c r="Q48" s="140"/>
      <c r="R48" s="140"/>
      <c r="S48" s="140"/>
    </row>
    <row r="49" spans="1:19" hidden="1">
      <c r="D49" s="159"/>
      <c r="F49" s="140"/>
      <c r="G49" s="140"/>
      <c r="H49" s="140"/>
      <c r="I49" s="140"/>
      <c r="J49" s="140"/>
      <c r="K49" s="140"/>
      <c r="L49" s="140"/>
      <c r="N49" s="141"/>
      <c r="P49" s="140"/>
      <c r="Q49" s="140"/>
      <c r="R49" s="140"/>
      <c r="S49" s="140"/>
    </row>
    <row r="50" spans="1:19" ht="6" customHeight="1"/>
    <row r="51" spans="1:19" ht="13" collapsed="1">
      <c r="B51" s="2" t="s">
        <v>17</v>
      </c>
    </row>
    <row r="52" spans="1:19" s="1" customFormat="1" hidden="1" outlineLevel="1">
      <c r="A52" s="30"/>
      <c r="B52" s="1" t="s">
        <v>18</v>
      </c>
      <c r="C52" s="26"/>
      <c r="D52" s="160">
        <f>MATCH(D2,Data!1:1,0)</f>
        <v>9</v>
      </c>
      <c r="E52" s="44"/>
      <c r="F52" s="30">
        <f>MATCH(F2,Data!1:1,0)</f>
        <v>7</v>
      </c>
      <c r="G52" s="30">
        <f>MATCH(G2,Data!1:1,0)</f>
        <v>8</v>
      </c>
      <c r="H52" s="30">
        <f>MATCH(H2,Data!1:1,0)</f>
        <v>9</v>
      </c>
      <c r="I52" s="30">
        <f>MATCH(I2,Data!1:1,0)</f>
        <v>10</v>
      </c>
      <c r="J52" s="30">
        <f>MATCH(J2,Data!1:1,0)</f>
        <v>11</v>
      </c>
      <c r="K52" s="30">
        <f>MATCH(K2,Data!1:1,0)</f>
        <v>12</v>
      </c>
      <c r="L52" s="30">
        <f>MATCH(L2,Data!1:1,0)</f>
        <v>13</v>
      </c>
      <c r="M52" s="6"/>
      <c r="N52" s="6"/>
      <c r="O52" s="6"/>
      <c r="P52" s="30">
        <f>MATCH(P2,Data!1:1,0)</f>
        <v>8</v>
      </c>
      <c r="Q52" s="30">
        <f>MATCH(Q2,Data!1:1,0)</f>
        <v>8</v>
      </c>
      <c r="R52" s="30">
        <f>MATCH(R2,Data!1:1,0)</f>
        <v>8</v>
      </c>
      <c r="S52" s="30">
        <f>MATCH(S2,Data!1:1,0)</f>
        <v>8</v>
      </c>
    </row>
    <row r="53" spans="1:19" s="13" customFormat="1" hidden="1" outlineLevel="1">
      <c r="A53" s="10" t="s">
        <v>6</v>
      </c>
      <c r="B53" s="10" t="s">
        <v>19</v>
      </c>
      <c r="C53" s="11"/>
      <c r="D53" s="161">
        <f>-MIN(IF(D4="ja",2,1)*INDEX(Data!$197:$197,,D52),VALUE(D9))</f>
        <v>0</v>
      </c>
      <c r="E53"/>
      <c r="F53" s="13">
        <f>-MIN(IF(F4="ja",2,1)*INDEX(Data!$197:$197,,F52),VALUE(F9))</f>
        <v>0</v>
      </c>
      <c r="G53" s="13">
        <f>-MIN(IF(G4="ja",2,1)*INDEX(Data!$197:$197,,G52),VALUE(G9))</f>
        <v>0</v>
      </c>
      <c r="H53" s="13">
        <f>-MIN(IF(H4="ja",2,1)*INDEX(Data!$197:$197,,H52),VALUE(H9))</f>
        <v>0</v>
      </c>
      <c r="I53" s="13">
        <f>-MIN(IF(I4="ja",2,1)*INDEX(Data!$197:$197,,I52),VALUE(I9))</f>
        <v>0</v>
      </c>
      <c r="J53" s="13">
        <f>-MIN(IF(J4="ja",2,1)*INDEX(Data!$197:$197,,J52),VALUE(J9))</f>
        <v>0</v>
      </c>
      <c r="K53" s="13">
        <f>-MIN(IF(K4="ja",2,1)*INDEX(Data!$197:$197,,K52),VALUE(K9))</f>
        <v>0</v>
      </c>
      <c r="L53" s="13">
        <f>-MIN(IF(L4="ja",2,1)*INDEX(Data!$197:$197,,L52),VALUE(L9))</f>
        <v>0</v>
      </c>
      <c r="M53" s="5"/>
      <c r="N53" s="5"/>
      <c r="O53" s="5"/>
      <c r="P53" s="13">
        <f>-MIN(IF(P4="ja",2,1)*INDEX(Data!$197:$197,,P52),VALUE(P9))</f>
        <v>0</v>
      </c>
      <c r="Q53" s="13">
        <f>-MIN(IF(Q4="ja",2,1)*INDEX(Data!$197:$197,,Q52),VALUE(Q9))</f>
        <v>0</v>
      </c>
      <c r="R53" s="13">
        <f>-MIN(IF(R4="ja",2,1)*INDEX(Data!$197:$197,,R52),VALUE(R9))</f>
        <v>0</v>
      </c>
      <c r="S53" s="13">
        <f>-MIN(IF(S4="ja",2,1)*INDEX(Data!$197:$197,,S52),VALUE(S9))</f>
        <v>0</v>
      </c>
    </row>
    <row r="54" spans="1:19" s="13" customFormat="1" hidden="1" outlineLevel="1">
      <c r="A54" s="10" t="s">
        <v>6</v>
      </c>
      <c r="B54" s="10" t="s">
        <v>20</v>
      </c>
      <c r="C54" s="11"/>
      <c r="D54" s="161">
        <f>MIN(IF(D4="ja",2,1)*INDEX(Data!$188:$188,,D52),VALUE(D10))</f>
        <v>0</v>
      </c>
      <c r="E54"/>
      <c r="F54" s="13">
        <f>MIN(IF(F4="ja",2,1)*INDEX(Data!$188:$188,,F52),VALUE(F10))</f>
        <v>0</v>
      </c>
      <c r="G54" s="13">
        <f>MIN(IF(G4="ja",2,1)*INDEX(Data!$188:$188,,G52),VALUE(G10))</f>
        <v>0</v>
      </c>
      <c r="H54" s="13">
        <f>MIN(IF(H4="ja",2,1)*INDEX(Data!$188:$188,,H52),VALUE(H10))</f>
        <v>0</v>
      </c>
      <c r="I54" s="13">
        <f>MIN(IF(I4="ja",2,1)*INDEX(Data!$188:$188,,I52),VALUE(I10))</f>
        <v>0</v>
      </c>
      <c r="J54" s="13">
        <f>MIN(IF(J4="ja",2,1)*INDEX(Data!$188:$188,,J52),VALUE(J10))</f>
        <v>0</v>
      </c>
      <c r="K54" s="13">
        <f>MIN(IF(K4="ja",2,1)*INDEX(Data!$188:$188,,K52),VALUE(K10))</f>
        <v>0</v>
      </c>
      <c r="L54" s="13">
        <f>MIN(IF(L4="ja",2,1)*INDEX(Data!$188:$188,,L52),VALUE(L10))</f>
        <v>0</v>
      </c>
      <c r="M54" s="5"/>
      <c r="N54" s="5"/>
      <c r="O54" s="5"/>
      <c r="P54" s="13">
        <f>MIN(IF(P4="ja",2,1)*INDEX(Data!$188:$188,,P52),VALUE(P10))</f>
        <v>3200</v>
      </c>
      <c r="Q54" s="13">
        <f>MIN(IF(Q4="ja",2,1)*INDEX(Data!$188:$188,,Q52),VALUE(Q10))</f>
        <v>3200</v>
      </c>
      <c r="R54" s="13">
        <f>MIN(IF(R4="ja",2,1)*INDEX(Data!$188:$188,,R52),VALUE(R10))</f>
        <v>0</v>
      </c>
      <c r="S54" s="13">
        <f>MIN(IF(S4="ja",2,1)*INDEX(Data!$188:$188,,S52),VALUE(S10))</f>
        <v>0</v>
      </c>
    </row>
    <row r="55" spans="1:19" s="13" customFormat="1" hidden="1" outlineLevel="1">
      <c r="A55" s="10" t="s">
        <v>6</v>
      </c>
      <c r="B55" s="10" t="s">
        <v>21</v>
      </c>
      <c r="C55" s="11"/>
      <c r="D55" s="155">
        <f>-IF(D4="ja",2,1)*INDEX(Data!$192:$192,,D52)</f>
        <v>-30846</v>
      </c>
      <c r="E55"/>
      <c r="F55" s="10">
        <f>-IF(F4="ja",2,1)*INDEX(Data!$192:$192,,F52)</f>
        <v>-50650</v>
      </c>
      <c r="G55" s="10">
        <f>-IF(G4="ja",2,1)*INDEX(Data!$192:$192,,G52)</f>
        <v>-50000</v>
      </c>
      <c r="H55" s="10">
        <f>-IF(H4="ja",2,1)*INDEX(Data!$192:$192,,H52)</f>
        <v>-30846</v>
      </c>
      <c r="I55" s="10">
        <f>-IF(I4="ja",2,1)*INDEX(Data!$192:$192,,I52)</f>
        <v>-30360</v>
      </c>
      <c r="J55" s="10">
        <f>-IF(J4="ja",2,1)*INDEX(Data!$192:$192,,J52)</f>
        <v>-30000</v>
      </c>
      <c r="K55" s="10">
        <f>-IF(K4="ja",2,1)*INDEX(Data!$192:$192,,K52)</f>
        <v>-25000</v>
      </c>
      <c r="L55" s="10">
        <f>-IF(L4="ja",2,1)*INDEX(Data!$192:$192,,L52)</f>
        <v>-24437</v>
      </c>
      <c r="M55" s="5"/>
      <c r="N55" s="5"/>
      <c r="O55" s="5"/>
      <c r="P55" s="10">
        <f>-IF(P4="ja",2,1)*INDEX(Data!$192:$192,,P52)</f>
        <v>-50000</v>
      </c>
      <c r="Q55" s="10">
        <f>-IF(Q4="ja",2,1)*INDEX(Data!$192:$192,,Q52)</f>
        <v>-50000</v>
      </c>
      <c r="R55" s="10">
        <f>-IF(R4="ja",2,1)*INDEX(Data!$192:$192,,R52)</f>
        <v>-100000</v>
      </c>
      <c r="S55" s="10">
        <f>-IF(S4="ja",2,1)*INDEX(Data!$192:$192,,S52)</f>
        <v>-100000</v>
      </c>
    </row>
    <row r="56" spans="1:19" s="22" customFormat="1" hidden="1" outlineLevel="1">
      <c r="A56" s="23" t="s">
        <v>6</v>
      </c>
      <c r="B56" s="22" t="s">
        <v>22</v>
      </c>
      <c r="C56" s="25"/>
      <c r="D56" s="162">
        <f>MAX(SUM(D14,D53:D55),0)</f>
        <v>0</v>
      </c>
      <c r="E56"/>
      <c r="F56" s="31">
        <f t="shared" ref="F56:L56" si="25">MAX(SUM(F14,F53:F55),0)</f>
        <v>99350</v>
      </c>
      <c r="G56" s="31">
        <f t="shared" si="25"/>
        <v>100000</v>
      </c>
      <c r="H56" s="31">
        <f t="shared" si="25"/>
        <v>119154</v>
      </c>
      <c r="I56" s="31">
        <f t="shared" si="25"/>
        <v>119640</v>
      </c>
      <c r="J56" s="31">
        <f t="shared" si="25"/>
        <v>120000</v>
      </c>
      <c r="K56" s="31">
        <f t="shared" si="25"/>
        <v>125000</v>
      </c>
      <c r="L56" s="31">
        <f t="shared" si="25"/>
        <v>125563</v>
      </c>
      <c r="M56" s="5"/>
      <c r="N56" s="5"/>
      <c r="O56" s="5"/>
      <c r="P56" s="31">
        <f>MAX(SUM(P14,P53:P55),0)</f>
        <v>150000</v>
      </c>
      <c r="Q56" s="31">
        <f>MAX(SUM(Q14,Q53:Q55),0)</f>
        <v>65000</v>
      </c>
      <c r="R56" s="31">
        <f>MAX(SUM(R14,R53:R55),0)</f>
        <v>200000</v>
      </c>
      <c r="S56" s="31">
        <f>MAX(SUM(S14,S53:S55),0)</f>
        <v>200000</v>
      </c>
    </row>
    <row r="57" spans="1:19" s="13" customFormat="1" ht="6" hidden="1" customHeight="1" outlineLevel="1">
      <c r="A57" s="10"/>
      <c r="B57" s="10"/>
      <c r="C57" s="11"/>
      <c r="D57" s="155"/>
      <c r="E57"/>
      <c r="F57" s="10"/>
      <c r="G57" s="10"/>
      <c r="H57" s="10"/>
      <c r="I57" s="10"/>
      <c r="J57" s="10"/>
      <c r="K57" s="10"/>
      <c r="L57" s="10"/>
      <c r="M57" s="5"/>
      <c r="N57" s="5"/>
      <c r="O57" s="5"/>
      <c r="P57" s="10"/>
      <c r="Q57" s="10"/>
      <c r="R57" s="10"/>
      <c r="S57" s="10"/>
    </row>
    <row r="58" spans="1:19" s="13" customFormat="1" ht="13" hidden="1" outlineLevel="1">
      <c r="A58" s="10"/>
      <c r="B58" s="32" t="s">
        <v>23</v>
      </c>
      <c r="C58" s="11"/>
      <c r="D58" s="155"/>
      <c r="E58"/>
      <c r="F58" s="10"/>
      <c r="G58" s="10"/>
      <c r="H58" s="10"/>
      <c r="I58" s="10"/>
      <c r="J58" s="10"/>
      <c r="K58" s="10"/>
      <c r="L58" s="10"/>
      <c r="M58" s="5"/>
      <c r="N58" s="5"/>
      <c r="O58" s="5"/>
      <c r="P58" s="10"/>
      <c r="Q58" s="10"/>
      <c r="R58" s="10"/>
      <c r="S58" s="10"/>
    </row>
    <row r="59" spans="1:19" s="13" customFormat="1" hidden="1" outlineLevel="1">
      <c r="A59" s="10" t="s">
        <v>6</v>
      </c>
      <c r="B59" s="33" t="s">
        <v>24</v>
      </c>
      <c r="C59" s="11" t="str">
        <f>INDEX(Data!B:B,MATCH(B59,Data!A:A,0))</f>
        <v>WIB 2001 - art. 5.2.1</v>
      </c>
      <c r="D59" s="163">
        <f>INDEX(Data!$137:$137,,D$52)</f>
        <v>6.9999999999999999E-4</v>
      </c>
      <c r="E59"/>
      <c r="F59" s="34">
        <f>INDEX(Data!$137:$137,,F$52)</f>
        <v>-1E-4</v>
      </c>
      <c r="G59" s="34">
        <f>INDEX(Data!$137:$137,,G$52)</f>
        <v>2.9999999999999997E-4</v>
      </c>
      <c r="H59" s="34">
        <f>INDEX(Data!$137:$137,,H$52)</f>
        <v>6.9999999999999999E-4</v>
      </c>
      <c r="I59" s="34">
        <f>INDEX(Data!$137:$137,,I$52)</f>
        <v>1.2999999999999999E-3</v>
      </c>
      <c r="J59" s="34">
        <f>INDEX(Data!$137:$137,,J$52)</f>
        <v>3.5999999999999999E-3</v>
      </c>
      <c r="K59" s="34">
        <f>INDEX(Data!$137:$137,,K$52)</f>
        <v>1.6299999999999999E-2</v>
      </c>
      <c r="L59" s="34">
        <f>INDEX(Data!$137:$137,,L$52)</f>
        <v>0</v>
      </c>
      <c r="M59" s="5"/>
      <c r="N59" s="5"/>
      <c r="O59" s="5"/>
      <c r="P59" s="34">
        <f>INDEX(Data!$137:$137,,P$52)</f>
        <v>2.9999999999999997E-4</v>
      </c>
      <c r="Q59" s="34">
        <f>INDEX(Data!$137:$137,,Q$52)</f>
        <v>2.9999999999999997E-4</v>
      </c>
      <c r="R59" s="34">
        <f>INDEX(Data!$137:$137,,R$52)</f>
        <v>2.9999999999999997E-4</v>
      </c>
      <c r="S59" s="34">
        <f>INDEX(Data!$137:$137,,S$52)</f>
        <v>2.9999999999999997E-4</v>
      </c>
    </row>
    <row r="60" spans="1:19" s="13" customFormat="1" hidden="1" outlineLevel="1">
      <c r="A60" s="10" t="s">
        <v>6</v>
      </c>
      <c r="B60" s="33" t="s">
        <v>25</v>
      </c>
      <c r="C60" s="11" t="str">
        <f>INDEX(Data!B:B,MATCH(B60,Data!A:A,0))</f>
        <v>WIB 2001 - art. 5.2.1</v>
      </c>
      <c r="D60" s="163">
        <f>INDEX(Data!$162:$162,,D$52)</f>
        <v>5.28E-2</v>
      </c>
      <c r="E60"/>
      <c r="F60" s="34">
        <f>INDEX(Data!$162:$162,,F$52)</f>
        <v>5.5300000000000002E-2</v>
      </c>
      <c r="G60" s="34">
        <f>INDEX(Data!$162:$162,,G$52)</f>
        <v>5.6899999999999999E-2</v>
      </c>
      <c r="H60" s="34">
        <f>INDEX(Data!$162:$162,,H$52)</f>
        <v>5.28E-2</v>
      </c>
      <c r="I60" s="34">
        <f>INDEX(Data!$162:$162,,I$52)</f>
        <v>5.5899999999999998E-2</v>
      </c>
      <c r="J60" s="34">
        <f>INDEX(Data!$162:$162,,J$52)</f>
        <v>5.3800000000000001E-2</v>
      </c>
      <c r="K60" s="34">
        <f>INDEX(Data!$162:$162,,K$52)</f>
        <v>5.3900000000000003E-2</v>
      </c>
      <c r="L60" s="34">
        <f>INDEX(Data!$162:$162,,L$52)</f>
        <v>0</v>
      </c>
      <c r="M60" s="5"/>
      <c r="N60" s="5"/>
      <c r="O60" s="5"/>
      <c r="P60" s="34">
        <f>INDEX(Data!$162:$162,,P$52)</f>
        <v>5.6899999999999999E-2</v>
      </c>
      <c r="Q60" s="34">
        <f>INDEX(Data!$162:$162,,Q$52)</f>
        <v>5.6899999999999999E-2</v>
      </c>
      <c r="R60" s="34">
        <f>INDEX(Data!$162:$162,,R$52)</f>
        <v>5.6899999999999999E-2</v>
      </c>
      <c r="S60" s="34">
        <f>INDEX(Data!$162:$162,,S$52)</f>
        <v>5.6899999999999999E-2</v>
      </c>
    </row>
    <row r="61" spans="1:19" s="13" customFormat="1" ht="6" hidden="1" customHeight="1" outlineLevel="1">
      <c r="A61" s="10"/>
      <c r="B61" s="33"/>
      <c r="C61" s="11"/>
      <c r="D61" s="163"/>
      <c r="E61"/>
      <c r="F61" s="34"/>
      <c r="G61" s="34"/>
      <c r="H61" s="34"/>
      <c r="I61" s="34"/>
      <c r="J61" s="34"/>
      <c r="K61" s="34"/>
      <c r="L61" s="34"/>
      <c r="M61" s="5"/>
      <c r="N61" s="5"/>
      <c r="O61" s="5"/>
      <c r="P61" s="34"/>
      <c r="Q61" s="34"/>
      <c r="R61" s="34"/>
      <c r="S61" s="34"/>
    </row>
    <row r="62" spans="1:19" s="13" customFormat="1" hidden="1" outlineLevel="1">
      <c r="A62" s="10" t="s">
        <v>6</v>
      </c>
      <c r="B62" s="13" t="s">
        <v>26</v>
      </c>
      <c r="C62" s="11"/>
      <c r="D62" s="161">
        <v>0</v>
      </c>
      <c r="E62"/>
      <c r="F62" s="13">
        <v>0</v>
      </c>
      <c r="G62" s="13">
        <v>0</v>
      </c>
      <c r="H62" s="13">
        <v>0</v>
      </c>
      <c r="I62" s="13">
        <v>0</v>
      </c>
      <c r="J62" s="13">
        <v>0</v>
      </c>
      <c r="K62" s="13">
        <v>0</v>
      </c>
      <c r="L62" s="13">
        <v>0</v>
      </c>
      <c r="M62" s="5"/>
      <c r="N62" s="5"/>
      <c r="O62" s="5"/>
      <c r="P62" s="13">
        <v>0</v>
      </c>
      <c r="Q62" s="13">
        <v>0</v>
      </c>
      <c r="R62" s="13">
        <v>0</v>
      </c>
      <c r="S62" s="13">
        <v>0</v>
      </c>
    </row>
    <row r="63" spans="1:19" s="35" customFormat="1" hidden="1" outlineLevel="1">
      <c r="A63" s="10" t="s">
        <v>6</v>
      </c>
      <c r="B63" s="34" t="s">
        <v>27</v>
      </c>
      <c r="C63" s="11" t="str">
        <f>"67% x r"&amp;ROW(C$59)&amp;" + 33% x r"&amp;ROW(C$60)</f>
        <v>67% x r59 + 33% x r60</v>
      </c>
      <c r="D63" s="163">
        <f>INDEX(Data!$174:$174,,D52)</f>
        <v>1.7893000000000003E-2</v>
      </c>
      <c r="E63"/>
      <c r="F63" s="34">
        <f>INDEX(Data!$174:$174,,F52)</f>
        <v>1.8182E-2</v>
      </c>
      <c r="G63" s="34">
        <f>INDEX(Data!$174:$174,,G52)</f>
        <v>1.8978000000000002E-2</v>
      </c>
      <c r="H63" s="34">
        <f>INDEX(Data!$174:$174,,H52)</f>
        <v>1.7893000000000003E-2</v>
      </c>
      <c r="I63" s="34">
        <f>INDEX(Data!$174:$174,,I52)</f>
        <v>1.9318000000000002E-2</v>
      </c>
      <c r="J63" s="34">
        <f>INDEX(Data!$174:$174,,J52)</f>
        <v>2.0166000000000003E-2</v>
      </c>
      <c r="K63" s="34">
        <f>INDEX(Data!$174:$174,,K52)</f>
        <v>2.8707999999999997E-2</v>
      </c>
      <c r="L63" s="34">
        <f>INDEX(Data!$174:$174,,L52)</f>
        <v>0</v>
      </c>
      <c r="M63" s="5"/>
      <c r="N63" s="5"/>
      <c r="O63" s="5"/>
      <c r="P63" s="34">
        <f>INDEX(Data!$174:$174,,P52)</f>
        <v>1.8978000000000002E-2</v>
      </c>
      <c r="Q63" s="34">
        <f>INDEX(Data!$174:$174,,Q52)</f>
        <v>1.8978000000000002E-2</v>
      </c>
      <c r="R63" s="34">
        <f>INDEX(Data!$174:$174,,R52)</f>
        <v>1.8978000000000002E-2</v>
      </c>
      <c r="S63" s="34">
        <f>INDEX(Data!$174:$174,,S52)</f>
        <v>1.8978000000000002E-2</v>
      </c>
    </row>
    <row r="64" spans="1:19" s="13" customFormat="1" hidden="1" outlineLevel="1">
      <c r="A64" s="10" t="s">
        <v>6</v>
      </c>
      <c r="B64" s="13" t="s">
        <v>28</v>
      </c>
      <c r="C64" s="11" t="s">
        <v>29</v>
      </c>
      <c r="D64" s="155">
        <f t="shared" ref="D64" si="26">D63*D65</f>
        <v>1302.5567210000002</v>
      </c>
      <c r="E64"/>
      <c r="F64" s="10">
        <f t="shared" ref="F64:L64" si="27">F63*F65</f>
        <v>920.91830000000004</v>
      </c>
      <c r="G64" s="10">
        <f t="shared" si="27"/>
        <v>948.90000000000009</v>
      </c>
      <c r="H64" s="10">
        <f t="shared" si="27"/>
        <v>1302.5567210000002</v>
      </c>
      <c r="I64" s="10">
        <f t="shared" si="27"/>
        <v>1384.1347000000001</v>
      </c>
      <c r="J64" s="10">
        <f t="shared" si="27"/>
        <v>1427.7528000000002</v>
      </c>
      <c r="K64" s="10">
        <f t="shared" si="27"/>
        <v>2153.1</v>
      </c>
      <c r="L64" s="10">
        <f t="shared" si="27"/>
        <v>0</v>
      </c>
      <c r="M64" s="5"/>
      <c r="N64" s="5"/>
      <c r="O64" s="5"/>
      <c r="P64" s="10">
        <f t="shared" ref="P64:Q64" si="28">P63*P65</f>
        <v>948.90000000000009</v>
      </c>
      <c r="Q64" s="10">
        <f t="shared" si="28"/>
        <v>948.90000000000009</v>
      </c>
      <c r="R64" s="10">
        <f t="shared" ref="R64" si="29">R63*R65</f>
        <v>948.90000000000009</v>
      </c>
      <c r="S64" s="10">
        <f t="shared" ref="S64" si="30">S63*S65</f>
        <v>948.90000000000009</v>
      </c>
    </row>
    <row r="65" spans="1:25" s="13" customFormat="1" hidden="1" outlineLevel="1">
      <c r="A65" s="10" t="s">
        <v>6</v>
      </c>
      <c r="B65" s="13" t="s">
        <v>30</v>
      </c>
      <c r="C65" s="11" t="str">
        <f>INDEX(Data!B:B,MATCH(B65,Data!A:A,0))</f>
        <v>WIB 2001 - art. 5.2.1</v>
      </c>
      <c r="D65" s="155">
        <f>INDEX(Data!$170:$170,,D52)</f>
        <v>72797</v>
      </c>
      <c r="E65"/>
      <c r="F65" s="10">
        <f>INDEX(Data!$170:$170,,F52)</f>
        <v>50650</v>
      </c>
      <c r="G65" s="10">
        <f>INDEX(Data!$170:$170,,G52)</f>
        <v>50000</v>
      </c>
      <c r="H65" s="10">
        <f>INDEX(Data!$170:$170,,H52)</f>
        <v>72797</v>
      </c>
      <c r="I65" s="10">
        <f>INDEX(Data!$170:$170,,I52)</f>
        <v>71650</v>
      </c>
      <c r="J65" s="10">
        <f>INDEX(Data!$170:$170,,J52)</f>
        <v>70800</v>
      </c>
      <c r="K65" s="10">
        <f>INDEX(Data!$170:$170,,K52)</f>
        <v>75000</v>
      </c>
      <c r="L65" s="10">
        <f>INDEX(Data!$170:$170,,L52)</f>
        <v>0</v>
      </c>
      <c r="M65" s="5"/>
      <c r="N65" s="5"/>
      <c r="O65" s="5"/>
      <c r="P65" s="10">
        <f>INDEX(Data!$170:$170,,P52)</f>
        <v>50000</v>
      </c>
      <c r="Q65" s="10">
        <f>INDEX(Data!$170:$170,,Q52)</f>
        <v>50000</v>
      </c>
      <c r="R65" s="10">
        <f>INDEX(Data!$170:$170,,R52)</f>
        <v>50000</v>
      </c>
      <c r="S65" s="10">
        <f>INDEX(Data!$170:$170,,S52)</f>
        <v>50000</v>
      </c>
    </row>
    <row r="66" spans="1:25" s="35" customFormat="1" hidden="1" outlineLevel="1">
      <c r="A66" s="10" t="s">
        <v>6</v>
      </c>
      <c r="B66" s="35" t="s">
        <v>31</v>
      </c>
      <c r="C66" s="11" t="str">
        <f>"21% x r"&amp;ROW(C$59)&amp;" + 79% x r"&amp;ROW(C$60)</f>
        <v>21% x r59 + 79% x r60</v>
      </c>
      <c r="D66" s="163">
        <f>INDEX(Data!$175:$175,,D52)</f>
        <v>4.1859E-2</v>
      </c>
      <c r="E66"/>
      <c r="F66" s="34">
        <f>INDEX(Data!$175:$175,,F52)</f>
        <v>4.3666000000000003E-2</v>
      </c>
      <c r="G66" s="34">
        <f>INDEX(Data!$175:$175,,G52)</f>
        <v>4.5014000000000005E-2</v>
      </c>
      <c r="H66" s="34">
        <f>INDEX(Data!$175:$175,,H52)</f>
        <v>4.1859E-2</v>
      </c>
      <c r="I66" s="34">
        <f>INDEX(Data!$175:$175,,I52)</f>
        <v>4.4434000000000001E-2</v>
      </c>
      <c r="J66" s="34">
        <f>INDEX(Data!$175:$175,,J52)</f>
        <v>4.3258000000000005E-2</v>
      </c>
      <c r="K66" s="34">
        <f>INDEX(Data!$175:$175,,K52)</f>
        <v>4.6004000000000003E-2</v>
      </c>
      <c r="L66" s="34">
        <f>INDEX(Data!$175:$175,,L52)</f>
        <v>0</v>
      </c>
      <c r="M66" s="5"/>
      <c r="N66" s="5"/>
      <c r="O66" s="5"/>
      <c r="P66" s="34">
        <f>INDEX(Data!$175:$175,,P52)</f>
        <v>4.5014000000000005E-2</v>
      </c>
      <c r="Q66" s="34">
        <f>INDEX(Data!$175:$175,,Q52)</f>
        <v>4.5014000000000005E-2</v>
      </c>
      <c r="R66" s="34">
        <f>INDEX(Data!$175:$175,,R52)</f>
        <v>4.5014000000000005E-2</v>
      </c>
      <c r="S66" s="34">
        <f>INDEX(Data!$175:$175,,S52)</f>
        <v>4.5014000000000005E-2</v>
      </c>
    </row>
    <row r="67" spans="1:25" s="13" customFormat="1" hidden="1" outlineLevel="1">
      <c r="A67" s="10" t="s">
        <v>6</v>
      </c>
      <c r="B67" s="13" t="s">
        <v>32</v>
      </c>
      <c r="C67" s="11" t="s">
        <v>29</v>
      </c>
      <c r="D67" s="155">
        <f t="shared" ref="D67" si="31">D66*(D68-D65)</f>
        <v>39045.028725000004</v>
      </c>
      <c r="E67"/>
      <c r="F67" s="10">
        <f t="shared" ref="F67:L67" si="32">F66*(F68-F65)</f>
        <v>39810.292200000004</v>
      </c>
      <c r="G67" s="10">
        <f t="shared" si="32"/>
        <v>40512.600000000006</v>
      </c>
      <c r="H67" s="10">
        <f t="shared" si="32"/>
        <v>39045.028725000004</v>
      </c>
      <c r="I67" s="10">
        <f t="shared" si="32"/>
        <v>40794.233324000001</v>
      </c>
      <c r="J67" s="10">
        <f t="shared" si="32"/>
        <v>39243.657600000006</v>
      </c>
      <c r="K67" s="10">
        <f t="shared" si="32"/>
        <v>41403.600000000006</v>
      </c>
      <c r="L67" s="10">
        <f t="shared" si="32"/>
        <v>0</v>
      </c>
      <c r="M67" s="5"/>
      <c r="N67" s="5"/>
      <c r="O67" s="5"/>
      <c r="P67" s="10">
        <f t="shared" ref="P67:Q67" si="33">P66*(P68-P65)</f>
        <v>40512.600000000006</v>
      </c>
      <c r="Q67" s="10">
        <f t="shared" si="33"/>
        <v>40512.600000000006</v>
      </c>
      <c r="R67" s="10">
        <f t="shared" ref="R67" si="34">R66*(R68-R65)</f>
        <v>40512.600000000006</v>
      </c>
      <c r="S67" s="10">
        <f t="shared" ref="S67" si="35">S66*(S68-S65)</f>
        <v>40512.600000000006</v>
      </c>
    </row>
    <row r="68" spans="1:25" s="13" customFormat="1" hidden="1" outlineLevel="1">
      <c r="A68" s="10" t="s">
        <v>6</v>
      </c>
      <c r="B68" s="13" t="s">
        <v>33</v>
      </c>
      <c r="C68" s="11" t="str">
        <f>INDEX(Data!B:B,MATCH(B68,Data!A:A,0))</f>
        <v>WIB 2001 - art. 5.2.1</v>
      </c>
      <c r="D68" s="155">
        <f>INDEX(Data!$173:$173,,D52)</f>
        <v>1005572</v>
      </c>
      <c r="E68"/>
      <c r="F68" s="10">
        <f>INDEX(Data!$173:$173,,F52)</f>
        <v>962350</v>
      </c>
      <c r="G68" s="10">
        <f>INDEX(Data!$173:$173,,G52)</f>
        <v>950000</v>
      </c>
      <c r="H68" s="10">
        <f>INDEX(Data!$173:$173,,H52)</f>
        <v>1005572</v>
      </c>
      <c r="I68" s="10">
        <f>INDEX(Data!$173:$173,,I52)</f>
        <v>989736</v>
      </c>
      <c r="J68" s="10">
        <f>INDEX(Data!$173:$173,,J52)</f>
        <v>978000</v>
      </c>
      <c r="K68" s="10">
        <f>INDEX(Data!$173:$173,,K52)</f>
        <v>975000</v>
      </c>
      <c r="L68" s="10">
        <f>INDEX(Data!$173:$173,,L52)</f>
        <v>0</v>
      </c>
      <c r="M68" s="5"/>
      <c r="N68" s="5"/>
      <c r="O68" s="5"/>
      <c r="P68" s="10">
        <f>INDEX(Data!$173:$173,,P52)</f>
        <v>950000</v>
      </c>
      <c r="Q68" s="10">
        <f>INDEX(Data!$173:$173,,Q52)</f>
        <v>950000</v>
      </c>
      <c r="R68" s="10">
        <f>INDEX(Data!$173:$173,,R52)</f>
        <v>950000</v>
      </c>
      <c r="S68" s="10">
        <f>INDEX(Data!$173:$173,,S52)</f>
        <v>950000</v>
      </c>
    </row>
    <row r="69" spans="1:25" s="35" customFormat="1" hidden="1" outlineLevel="1">
      <c r="A69" s="10" t="s">
        <v>6</v>
      </c>
      <c r="B69" s="35" t="s">
        <v>34</v>
      </c>
      <c r="C69" s="11" t="str">
        <f>"0% x r"&amp;ROW(C$59)&amp;" + 100% x r"&amp;ROW(C$60)</f>
        <v>0% x r59 + 100% x r60</v>
      </c>
      <c r="D69" s="163">
        <f>INDEX(Data!$176:$176,,D52)</f>
        <v>5.28E-2</v>
      </c>
      <c r="E69"/>
      <c r="F69" s="34">
        <f>INDEX(Data!$176:$176,,F52)</f>
        <v>5.5300000000000002E-2</v>
      </c>
      <c r="G69" s="34">
        <f>INDEX(Data!$176:$176,,G52)</f>
        <v>5.6899999999999999E-2</v>
      </c>
      <c r="H69" s="34">
        <f>INDEX(Data!$176:$176,,H52)</f>
        <v>5.28E-2</v>
      </c>
      <c r="I69" s="34">
        <f>INDEX(Data!$176:$176,,I52)</f>
        <v>5.5899999999999998E-2</v>
      </c>
      <c r="J69" s="34">
        <f>INDEX(Data!$176:$176,,J52)</f>
        <v>5.3800000000000001E-2</v>
      </c>
      <c r="K69" s="34">
        <f>INDEX(Data!$176:$176,,K52)</f>
        <v>5.3900000000000003E-2</v>
      </c>
      <c r="L69" s="34">
        <f>INDEX(Data!$176:$176,,L52)</f>
        <v>0.04</v>
      </c>
      <c r="M69" s="5"/>
      <c r="N69" s="5"/>
      <c r="O69" s="5"/>
      <c r="P69" s="34">
        <f>INDEX(Data!$176:$176,,P52)</f>
        <v>5.6899999999999999E-2</v>
      </c>
      <c r="Q69" s="34">
        <f>INDEX(Data!$176:$176,,Q52)</f>
        <v>5.6899999999999999E-2</v>
      </c>
      <c r="R69" s="34">
        <f>INDEX(Data!$176:$176,,R52)</f>
        <v>5.6899999999999999E-2</v>
      </c>
      <c r="S69" s="34">
        <f>INDEX(Data!$176:$176,,S52)</f>
        <v>5.6899999999999999E-2</v>
      </c>
    </row>
    <row r="70" spans="1:25" s="13" customFormat="1" ht="6" hidden="1" customHeight="1" outlineLevel="1">
      <c r="A70" s="10"/>
      <c r="B70" s="10"/>
      <c r="C70" s="11"/>
      <c r="D70" s="161"/>
      <c r="E70"/>
      <c r="M70" s="5"/>
      <c r="N70" s="5"/>
      <c r="O70" s="5"/>
    </row>
    <row r="71" spans="1:25" ht="13" hidden="1" outlineLevel="1">
      <c r="B71" s="2" t="str">
        <f>"Data vlgs "&amp;Data!A178</f>
        <v>Data vlgs Wet rechtsherstel box 3</v>
      </c>
    </row>
    <row r="72" spans="1:25" s="5" customFormat="1" hidden="1" outlineLevel="1">
      <c r="A72" s="1" t="s">
        <v>6</v>
      </c>
      <c r="B72" s="4" t="str">
        <f>Data!A179</f>
        <v>Banktegoeden</v>
      </c>
      <c r="C72" s="3" t="s">
        <v>35</v>
      </c>
      <c r="D72" s="164">
        <f>INDEX(Data!179:179,D$52)</f>
        <v>4.0000000000000002E-4</v>
      </c>
      <c r="E72"/>
      <c r="F72" s="36">
        <f>INDEX(Data!179:179,F$52)</f>
        <v>1E-4</v>
      </c>
      <c r="G72" s="36">
        <f>INDEX(Data!179:179,G$52)</f>
        <v>1E-4</v>
      </c>
      <c r="H72" s="36">
        <f>INDEX(Data!179:179,H$52)</f>
        <v>4.0000000000000002E-4</v>
      </c>
      <c r="I72" s="36">
        <f>INDEX(Data!179:179,I$52)</f>
        <v>8.0000000000000004E-4</v>
      </c>
      <c r="J72" s="36">
        <f>INDEX(Data!179:179,J$52)</f>
        <v>1.1999999999999999E-3</v>
      </c>
      <c r="K72" s="36">
        <f>INDEX(Data!179:179,K$52)</f>
        <v>2.5000000000000001E-3</v>
      </c>
      <c r="L72" s="36">
        <f>INDEX(Data!179:179,L$52)</f>
        <v>0</v>
      </c>
      <c r="P72" s="36">
        <f>INDEX(Data!179:179,P$52)</f>
        <v>1E-4</v>
      </c>
      <c r="Q72" s="36">
        <f>INDEX(Data!179:179,Q$52)</f>
        <v>1E-4</v>
      </c>
      <c r="R72" s="36">
        <f>INDEX(Data!179:179,R$52)</f>
        <v>1E-4</v>
      </c>
      <c r="S72" s="36">
        <f>INDEX(Data!179:179,S$52)</f>
        <v>1E-4</v>
      </c>
      <c r="T72" s="4"/>
      <c r="U72" s="4"/>
      <c r="V72" s="4"/>
      <c r="W72" s="4"/>
      <c r="X72" s="4"/>
      <c r="Y72" s="4"/>
    </row>
    <row r="73" spans="1:25" s="5" customFormat="1" hidden="1" outlineLevel="1">
      <c r="A73" s="1" t="s">
        <v>6</v>
      </c>
      <c r="B73" s="4" t="str">
        <f>Data!A180</f>
        <v>Overige bezittingen</v>
      </c>
      <c r="C73" s="3" t="s">
        <v>35</v>
      </c>
      <c r="D73" s="164">
        <f>INDEX(Data!180:180,D$52)</f>
        <v>5.28E-2</v>
      </c>
      <c r="E73"/>
      <c r="F73" s="36">
        <f>INDEX(Data!180:180,F$52)</f>
        <v>5.5300000000000002E-2</v>
      </c>
      <c r="G73" s="36">
        <f>INDEX(Data!180:180,G$52)</f>
        <v>5.6899999999999999E-2</v>
      </c>
      <c r="H73" s="36">
        <f>INDEX(Data!180:180,H$52)</f>
        <v>5.28E-2</v>
      </c>
      <c r="I73" s="36">
        <f>INDEX(Data!180:180,I$52)</f>
        <v>5.5899999999999998E-2</v>
      </c>
      <c r="J73" s="36">
        <f>INDEX(Data!180:180,J$52)</f>
        <v>5.3800000000000001E-2</v>
      </c>
      <c r="K73" s="36">
        <f>INDEX(Data!180:180,K$52)</f>
        <v>5.3900000000000003E-2</v>
      </c>
      <c r="L73" s="36">
        <f>INDEX(Data!180:180,L$52)</f>
        <v>0</v>
      </c>
      <c r="P73" s="36">
        <f>INDEX(Data!180:180,P$52)</f>
        <v>5.6899999999999999E-2</v>
      </c>
      <c r="Q73" s="36">
        <f>INDEX(Data!180:180,Q$52)</f>
        <v>5.6899999999999999E-2</v>
      </c>
      <c r="R73" s="36">
        <f>INDEX(Data!180:180,R$52)</f>
        <v>5.6899999999999999E-2</v>
      </c>
      <c r="S73" s="36">
        <f>INDEX(Data!180:180,S$52)</f>
        <v>5.6899999999999999E-2</v>
      </c>
      <c r="T73" s="4"/>
      <c r="U73" s="4"/>
      <c r="V73" s="4"/>
      <c r="W73" s="4"/>
      <c r="X73" s="4"/>
      <c r="Y73" s="4"/>
    </row>
    <row r="74" spans="1:25" s="5" customFormat="1" hidden="1" outlineLevel="1">
      <c r="A74" s="1" t="s">
        <v>6</v>
      </c>
      <c r="B74" s="4" t="str">
        <f>Data!A181</f>
        <v>Schulden</v>
      </c>
      <c r="C74" s="3" t="s">
        <v>35</v>
      </c>
      <c r="D74" s="164">
        <f>INDEX(Data!181:181,D$52)</f>
        <v>2.7400000000000001E-2</v>
      </c>
      <c r="E74"/>
      <c r="F74" s="36">
        <f>INDEX(Data!181:181,F$52)</f>
        <v>2.46E-2</v>
      </c>
      <c r="G74" s="36">
        <f>INDEX(Data!181:181,G$52)</f>
        <v>2.46E-2</v>
      </c>
      <c r="H74" s="36">
        <f>INDEX(Data!181:181,H$52)</f>
        <v>2.7400000000000001E-2</v>
      </c>
      <c r="I74" s="36">
        <f>INDEX(Data!181:181,I$52)</f>
        <v>0.03</v>
      </c>
      <c r="J74" s="36">
        <f>INDEX(Data!181:181,J$52)</f>
        <v>3.2000000000000001E-2</v>
      </c>
      <c r="K74" s="36">
        <f>INDEX(Data!181:181,K$52)</f>
        <v>3.4299999999999997E-2</v>
      </c>
      <c r="L74" s="36">
        <f>INDEX(Data!181:181,L$52)</f>
        <v>0</v>
      </c>
      <c r="P74" s="36">
        <f>INDEX(Data!181:181,P$52)</f>
        <v>2.46E-2</v>
      </c>
      <c r="Q74" s="36">
        <f>INDEX(Data!181:181,Q$52)</f>
        <v>2.46E-2</v>
      </c>
      <c r="R74" s="36">
        <f>INDEX(Data!181:181,R$52)</f>
        <v>2.46E-2</v>
      </c>
      <c r="S74" s="36">
        <f>INDEX(Data!181:181,S$52)</f>
        <v>2.46E-2</v>
      </c>
      <c r="T74" s="4"/>
      <c r="U74" s="4"/>
      <c r="V74" s="4"/>
      <c r="W74" s="4"/>
      <c r="X74" s="4"/>
      <c r="Y74" s="4"/>
    </row>
    <row r="75" spans="1:25" s="5" customFormat="1" ht="6" hidden="1" customHeight="1" outlineLevel="1">
      <c r="A75" s="1"/>
      <c r="B75" s="4"/>
      <c r="C75" s="3"/>
      <c r="D75" s="146"/>
      <c r="E75"/>
      <c r="F75" s="4"/>
      <c r="G75" s="4"/>
      <c r="H75" s="4"/>
      <c r="I75" s="4"/>
      <c r="J75" s="4"/>
      <c r="K75" s="4"/>
      <c r="L75" s="4"/>
      <c r="P75" s="4"/>
      <c r="Q75" s="4"/>
      <c r="R75" s="4"/>
      <c r="S75" s="4"/>
      <c r="T75" s="4"/>
      <c r="U75" s="4"/>
      <c r="V75" s="4"/>
      <c r="W75" s="4"/>
      <c r="X75" s="4"/>
      <c r="Y75" s="4"/>
    </row>
    <row r="76" spans="1:25" s="6" customFormat="1" hidden="1" outlineLevel="1">
      <c r="A76" s="1" t="s">
        <v>6</v>
      </c>
      <c r="B76" s="10" t="s">
        <v>36</v>
      </c>
      <c r="C76" s="3"/>
      <c r="D76" s="165">
        <f>IF(D14+D54&lt;&gt;0,(D72*D7+D73*D8-D74*(D10-D54))/(D14+D54),0)</f>
        <v>0</v>
      </c>
      <c r="E76"/>
      <c r="F76" s="138">
        <f>IF(F14+F54&lt;&gt;0,(F72*F7+F73*F8-F74*(F10-F54))/(F14+F54),0)</f>
        <v>1.8499999999999999E-2</v>
      </c>
      <c r="G76" s="138">
        <f t="shared" ref="G76:L76" si="36">IF(G14+G54&lt;&gt;0,(G72*G7+G73*G8-G74*(G10-G54))/(G14+G54),0)</f>
        <v>1.9033333333333333E-2</v>
      </c>
      <c r="H76" s="138">
        <f t="shared" si="36"/>
        <v>1.7866666666666666E-2</v>
      </c>
      <c r="I76" s="138">
        <f t="shared" si="36"/>
        <v>1.9166666666666665E-2</v>
      </c>
      <c r="J76" s="138">
        <f t="shared" si="36"/>
        <v>1.8733333333333334E-2</v>
      </c>
      <c r="K76" s="138">
        <f t="shared" si="36"/>
        <v>1.9633333333333332E-2</v>
      </c>
      <c r="L76" s="138">
        <f t="shared" si="36"/>
        <v>0</v>
      </c>
      <c r="P76" s="138">
        <f t="shared" ref="P76:S76" si="37">IF(P14+P54&lt;&gt;0,(P72*P7+P73*P8-P74*(P10-P54))/(P14+P54),0)</f>
        <v>2.7275000000000001E-2</v>
      </c>
      <c r="Q76" s="138">
        <f t="shared" si="37"/>
        <v>2.9252173913043477E-2</v>
      </c>
      <c r="R76" s="138">
        <f t="shared" si="37"/>
        <v>2.1305333333333336E-2</v>
      </c>
      <c r="S76" s="138">
        <f t="shared" si="37"/>
        <v>2.1305333333333336E-2</v>
      </c>
      <c r="T76" s="26"/>
      <c r="U76" s="26"/>
      <c r="V76" s="26"/>
      <c r="W76" s="26"/>
      <c r="X76" s="26"/>
      <c r="Y76" s="26"/>
    </row>
    <row r="77" spans="1:25" s="5" customFormat="1">
      <c r="A77" s="1"/>
      <c r="B77" s="4"/>
      <c r="C77" s="3"/>
      <c r="D77" s="146"/>
      <c r="E77"/>
      <c r="F77" s="4"/>
      <c r="G77" s="4"/>
      <c r="H77" s="4"/>
      <c r="I77" s="4"/>
      <c r="J77" s="4"/>
      <c r="K77" s="4"/>
      <c r="L77" s="4"/>
      <c r="P77" s="4"/>
      <c r="Q77" s="4"/>
      <c r="R77" s="4"/>
      <c r="S77" s="4"/>
      <c r="T77" s="4"/>
      <c r="U77" s="4"/>
      <c r="V77" s="4"/>
      <c r="W77" s="4"/>
      <c r="X77" s="4"/>
      <c r="Y77" s="4"/>
    </row>
  </sheetData>
  <sheetProtection algorithmName="SHA-512" hashValue="C4t2YGhvMbZrTtnDRNrbSPq9TUL1h51fNiSBvwpr8vIJzCRgWApc1qagNv/g1k9LzAz6w9+dz3rUo/x2Ife+Qw==" saltValue="9/gjteVPye+U7PZAcRmMHQ==" spinCount="100000" sheet="1" objects="1" scenarios="1" insertColumns="0" deleteColumns="0"/>
  <mergeCells count="3">
    <mergeCell ref="P1:S1"/>
    <mergeCell ref="H1:K1"/>
    <mergeCell ref="F1:G1"/>
  </mergeCells>
  <conditionalFormatting sqref="P5:S5 F5:L5 D5">
    <cfRule type="expression" dxfId="5" priority="20">
      <formula>D$4&lt;&gt;"ja"</formula>
    </cfRule>
  </conditionalFormatting>
  <conditionalFormatting sqref="P2:S2 F2:L2 D2">
    <cfRule type="expression" dxfId="4" priority="19">
      <formula>D$2=2022</formula>
    </cfRule>
  </conditionalFormatting>
  <conditionalFormatting sqref="F36:L39 P36:S39 D36:D39">
    <cfRule type="expression" dxfId="3" priority="9">
      <formula>D$36&lt;D$29</formula>
    </cfRule>
  </conditionalFormatting>
  <conditionalFormatting sqref="F29:L29 P29:S29 D29">
    <cfRule type="expression" dxfId="2" priority="7">
      <formula>AND(D$29&lt;=D$36,D$29&lt;&gt;0)</formula>
    </cfRule>
  </conditionalFormatting>
  <conditionalFormatting sqref="F25:L25 P25:S25 D25">
    <cfRule type="expression" dxfId="1" priority="6">
      <formula>AND(D$25&lt;=D$33,D$25&lt;&gt;0)</formula>
    </cfRule>
  </conditionalFormatting>
  <conditionalFormatting sqref="F33:L33 P33:S33 D33">
    <cfRule type="expression" dxfId="0" priority="8">
      <formula>D$33&lt;D$25</formula>
    </cfRule>
  </conditionalFormatting>
  <dataValidations count="1">
    <dataValidation type="list" allowBlank="1" showInputMessage="1" showErrorMessage="1" sqref="P4:S4 D4 F4:L4" xr:uid="{00000000-0002-0000-0000-000000000000}">
      <formula1>"Ja,Nee"</formula1>
    </dataValidation>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Data!$G$1:$N$1</xm:f>
          </x14:formula1>
          <xm:sqref>P2:S2 D2 F2:L2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pageSetUpPr autoPageBreaks="0"/>
  </sheetPr>
  <dimension ref="A1:O508"/>
  <sheetViews>
    <sheetView workbookViewId="0"/>
  </sheetViews>
  <sheetFormatPr defaultRowHeight="12.5" outlineLevelRow="2" outlineLevelCol="1"/>
  <cols>
    <col min="1" max="1" width="28.26953125" customWidth="1"/>
    <col min="2" max="3" width="16.81640625" style="43" hidden="1" customWidth="1" outlineLevel="1"/>
    <col min="4" max="4" width="9.26953125" style="5" customWidth="1" collapsed="1"/>
    <col min="5" max="7" width="9.26953125" style="5" customWidth="1"/>
    <col min="8" max="9" width="9.26953125" style="6" customWidth="1"/>
    <col min="10" max="12" width="9.26953125" style="44" customWidth="1"/>
    <col min="13" max="14" width="9.26953125" customWidth="1"/>
  </cols>
  <sheetData>
    <row r="1" spans="1:15" s="37" customFormat="1" ht="13">
      <c r="B1" s="37" t="s">
        <v>37</v>
      </c>
      <c r="C1" s="37" t="s">
        <v>38</v>
      </c>
      <c r="D1" s="37">
        <v>2025</v>
      </c>
      <c r="E1" s="37">
        <v>2024</v>
      </c>
      <c r="F1" s="37">
        <v>2023</v>
      </c>
      <c r="G1" s="37">
        <v>2022</v>
      </c>
      <c r="H1" s="38">
        <v>2021</v>
      </c>
      <c r="I1" s="38">
        <v>2020</v>
      </c>
      <c r="J1" s="38">
        <v>2019</v>
      </c>
      <c r="K1" s="37">
        <v>2018</v>
      </c>
      <c r="L1" s="37">
        <v>2017</v>
      </c>
      <c r="M1" s="37">
        <v>2016</v>
      </c>
      <c r="N1" s="37">
        <v>2015</v>
      </c>
    </row>
    <row r="2" spans="1:15" s="42" customFormat="1" ht="6" customHeight="1">
      <c r="A2" s="39"/>
      <c r="B2" s="40"/>
      <c r="C2" s="40"/>
      <c r="D2" s="40"/>
      <c r="E2" s="40"/>
      <c r="F2" s="40"/>
      <c r="G2" s="40"/>
      <c r="H2" s="41"/>
      <c r="I2" s="41"/>
      <c r="J2" s="41"/>
      <c r="K2" s="41"/>
      <c r="L2" s="41"/>
      <c r="M2" s="41"/>
      <c r="N2" s="41"/>
      <c r="O2" s="5"/>
    </row>
    <row r="3" spans="1:15" ht="13">
      <c r="A3" s="37"/>
      <c r="O3" s="45"/>
    </row>
    <row r="4" spans="1:15">
      <c r="A4" s="5" t="s">
        <v>39</v>
      </c>
      <c r="G4" s="46">
        <v>120.095</v>
      </c>
      <c r="H4" s="46">
        <v>109.68499999999999</v>
      </c>
      <c r="I4" s="46">
        <v>106.9575</v>
      </c>
      <c r="J4" s="46">
        <v>105.78083333333332</v>
      </c>
      <c r="K4" s="46">
        <v>103.02666666666669</v>
      </c>
      <c r="L4" s="46">
        <v>101.40083333333332</v>
      </c>
      <c r="M4" s="46">
        <v>100.10583333333334</v>
      </c>
      <c r="N4" s="46">
        <v>100.00166666666667</v>
      </c>
      <c r="O4" s="45"/>
    </row>
    <row r="5" spans="1:15" s="47" customFormat="1" ht="6" customHeight="1">
      <c r="B5" s="48"/>
      <c r="C5" s="48"/>
      <c r="D5" s="49"/>
      <c r="E5" s="49"/>
      <c r="F5" s="49"/>
      <c r="G5" s="50"/>
      <c r="H5" s="50"/>
      <c r="I5" s="50"/>
      <c r="J5" s="50"/>
      <c r="K5" s="50"/>
      <c r="L5" s="50"/>
      <c r="M5" s="50"/>
      <c r="N5" s="50"/>
      <c r="O5" s="49"/>
    </row>
    <row r="6" spans="1:15" s="53" customFormat="1">
      <c r="A6" s="51" t="s">
        <v>40</v>
      </c>
      <c r="B6" s="52"/>
      <c r="C6" s="52"/>
      <c r="D6" s="51"/>
      <c r="E6" s="51"/>
      <c r="F6" s="51"/>
      <c r="G6" s="46">
        <v>119.08625000000001</v>
      </c>
      <c r="H6" s="46">
        <v>110.38666666666667</v>
      </c>
      <c r="I6" s="46">
        <v>107.50999999999999</v>
      </c>
      <c r="J6" s="46">
        <v>106.15916666666668</v>
      </c>
      <c r="K6" s="46">
        <v>103.435</v>
      </c>
      <c r="L6" s="46">
        <v>101.7025</v>
      </c>
      <c r="M6" s="46">
        <v>100.31666666666666</v>
      </c>
      <c r="N6" s="46">
        <v>100</v>
      </c>
      <c r="O6" s="51"/>
    </row>
    <row r="7" spans="1:15" s="53" customFormat="1">
      <c r="A7" s="51" t="s">
        <v>41</v>
      </c>
      <c r="B7" s="52"/>
      <c r="C7" s="52"/>
      <c r="D7" s="51"/>
      <c r="E7" s="51"/>
      <c r="F7" s="51"/>
      <c r="G7" s="46">
        <v>118.62125</v>
      </c>
      <c r="H7" s="46">
        <v>108.54916666666668</v>
      </c>
      <c r="I7" s="46">
        <v>105.93833333333335</v>
      </c>
      <c r="J7" s="46">
        <v>104.63916666666667</v>
      </c>
      <c r="K7" s="46">
        <v>103.00749999999999</v>
      </c>
      <c r="L7" s="46">
        <v>101.6225</v>
      </c>
      <c r="M7" s="46">
        <v>100.25000000000001</v>
      </c>
      <c r="N7" s="46">
        <v>99.999166666666667</v>
      </c>
      <c r="O7" s="51"/>
    </row>
    <row r="8" spans="1:15" s="47" customFormat="1" ht="6" customHeight="1">
      <c r="B8" s="48"/>
      <c r="C8" s="48"/>
      <c r="D8" s="49"/>
      <c r="E8" s="49"/>
      <c r="F8" s="49"/>
      <c r="G8" s="50"/>
      <c r="H8" s="50"/>
      <c r="I8" s="50"/>
      <c r="J8" s="50"/>
      <c r="K8" s="50"/>
      <c r="L8" s="50"/>
      <c r="M8" s="50"/>
      <c r="N8" s="50"/>
      <c r="O8" s="49"/>
    </row>
    <row r="9" spans="1:15">
      <c r="A9" s="5" t="s">
        <v>42</v>
      </c>
      <c r="F9" s="46"/>
      <c r="G9" s="46">
        <v>123.16499999999999</v>
      </c>
      <c r="H9" s="46">
        <v>113.54666666666667</v>
      </c>
      <c r="I9" s="46">
        <v>106.77583333333335</v>
      </c>
      <c r="J9" s="46">
        <v>105.42583333333334</v>
      </c>
      <c r="K9" s="46">
        <v>103.77083333333333</v>
      </c>
      <c r="L9" s="46">
        <v>102.18333333333334</v>
      </c>
      <c r="M9" s="46">
        <v>100.92500000000001</v>
      </c>
      <c r="N9" s="46">
        <v>100.11083333333335</v>
      </c>
      <c r="O9" s="45"/>
    </row>
    <row r="10" spans="1:15" s="47" customFormat="1" ht="6" customHeight="1">
      <c r="B10" s="48"/>
      <c r="C10" s="48"/>
      <c r="D10" s="49"/>
      <c r="E10" s="49"/>
      <c r="F10" s="49"/>
      <c r="G10" s="49"/>
      <c r="H10" s="50"/>
      <c r="I10" s="50"/>
      <c r="J10" s="50"/>
      <c r="K10" s="50"/>
      <c r="L10" s="50"/>
      <c r="M10" s="50"/>
      <c r="N10" s="50"/>
      <c r="O10" s="49"/>
    </row>
    <row r="11" spans="1:15" s="48" customFormat="1" ht="10">
      <c r="A11" s="54" t="s">
        <v>43</v>
      </c>
      <c r="B11" s="55" t="s">
        <v>44</v>
      </c>
      <c r="C11" s="55"/>
      <c r="D11" s="55"/>
      <c r="E11" s="55"/>
      <c r="F11" s="54">
        <f t="shared" ref="F11" si="0">ROUND(H9/I9,3)</f>
        <v>1.0629999999999999</v>
      </c>
      <c r="G11" s="54">
        <v>1.0129999999999999</v>
      </c>
      <c r="H11" s="54">
        <v>1.016</v>
      </c>
      <c r="I11" s="54">
        <v>1.016</v>
      </c>
      <c r="J11" s="54">
        <v>1.012</v>
      </c>
      <c r="K11" s="54">
        <v>1.008</v>
      </c>
      <c r="L11" s="54">
        <v>1.0029999999999999</v>
      </c>
      <c r="M11" s="54">
        <v>1.0049999999999999</v>
      </c>
      <c r="N11" s="54">
        <v>1.0089999999999999</v>
      </c>
    </row>
    <row r="12" spans="1:15" s="48" customFormat="1" ht="10">
      <c r="A12" s="57" t="str">
        <f>"Idem voor "&amp;A44</f>
        <v xml:space="preserve">Idem voor </v>
      </c>
      <c r="B12" s="58" t="s">
        <v>45</v>
      </c>
      <c r="C12" s="58"/>
      <c r="D12" s="58"/>
      <c r="E12" s="58"/>
      <c r="F12" s="57">
        <f t="shared" ref="F12" si="1">ROUND(1+0.75*(F11-1),3)</f>
        <v>1.0469999999999999</v>
      </c>
      <c r="G12" s="57">
        <v>1.01</v>
      </c>
      <c r="H12" s="57">
        <v>1.012</v>
      </c>
      <c r="I12" s="57">
        <v>1.012</v>
      </c>
      <c r="J12" s="57">
        <v>1.0089999999999999</v>
      </c>
      <c r="K12" s="57">
        <v>1.006</v>
      </c>
      <c r="L12" s="57">
        <v>1.002</v>
      </c>
      <c r="M12" s="57">
        <v>1.004</v>
      </c>
      <c r="N12" s="57">
        <v>1.0069999999999999</v>
      </c>
    </row>
    <row r="13" spans="1:15" s="33" customFormat="1">
      <c r="B13" s="56"/>
      <c r="C13" s="56"/>
    </row>
    <row r="14" spans="1:15">
      <c r="A14" s="59" t="s">
        <v>46</v>
      </c>
      <c r="G14" s="46">
        <v>122.75999999999999</v>
      </c>
      <c r="H14" s="46">
        <v>114.855</v>
      </c>
      <c r="I14" s="46">
        <v>108.515</v>
      </c>
      <c r="J14" s="46">
        <v>106.92916666666667</v>
      </c>
      <c r="K14" s="46">
        <v>104.77</v>
      </c>
      <c r="L14" s="46">
        <v>102.39833333333331</v>
      </c>
      <c r="M14" s="46">
        <v>101.01000000000003</v>
      </c>
      <c r="N14" s="46">
        <v>100.145</v>
      </c>
      <c r="O14" s="45"/>
    </row>
    <row r="15" spans="1:15">
      <c r="A15" s="5" t="s">
        <v>47</v>
      </c>
      <c r="G15" s="46">
        <v>117.36</v>
      </c>
      <c r="H15" s="46">
        <v>113.99</v>
      </c>
      <c r="I15" s="46">
        <v>113.12250000000002</v>
      </c>
      <c r="J15" s="46">
        <v>109.91000000000001</v>
      </c>
      <c r="K15" s="46">
        <v>107.18000000000002</v>
      </c>
      <c r="L15" s="46">
        <v>104.74</v>
      </c>
      <c r="M15" s="46">
        <v>103.10999999999997</v>
      </c>
      <c r="N15" s="46">
        <v>101.09999999999997</v>
      </c>
      <c r="O15" s="45"/>
    </row>
    <row r="16" spans="1:15" ht="6" customHeight="1">
      <c r="M16" s="44"/>
      <c r="N16" s="44"/>
      <c r="O16" s="45"/>
    </row>
    <row r="17" spans="1:15" s="48" customFormat="1" ht="10">
      <c r="A17" s="54" t="s">
        <v>48</v>
      </c>
      <c r="B17" s="55" t="s">
        <v>49</v>
      </c>
      <c r="C17" s="55"/>
      <c r="D17" s="55"/>
      <c r="E17" s="55"/>
      <c r="F17" s="54">
        <f>H14/I14</f>
        <v>1.058425102520389</v>
      </c>
      <c r="G17" s="54">
        <v>1.0148306900985855</v>
      </c>
      <c r="H17" s="54">
        <v>1.020608634787312</v>
      </c>
      <c r="I17" s="54">
        <v>1.0231611842640669</v>
      </c>
      <c r="J17" s="54">
        <v>1.0137445137445131</v>
      </c>
      <c r="K17" s="54">
        <v>1.0086374756602929</v>
      </c>
      <c r="L17" s="54">
        <v>1.0048413395208828</v>
      </c>
      <c r="M17" s="54">
        <v>1.0071666778953043</v>
      </c>
      <c r="N17" s="54">
        <v>1.0159827509497246</v>
      </c>
    </row>
    <row r="18" spans="1:15" s="43" customFormat="1" ht="10">
      <c r="A18" s="60" t="s">
        <v>50</v>
      </c>
      <c r="B18" s="61" t="s">
        <v>51</v>
      </c>
      <c r="C18" s="61"/>
      <c r="D18" s="61"/>
      <c r="E18" s="61"/>
      <c r="F18" s="61"/>
      <c r="G18" s="60">
        <v>1.0295639968418282</v>
      </c>
      <c r="H18" s="60">
        <v>1.0076686777608344</v>
      </c>
      <c r="I18" s="60">
        <v>1.0292284596488037</v>
      </c>
      <c r="J18" s="60">
        <v>1.0254711699944019</v>
      </c>
      <c r="K18" s="60">
        <v>1.023295780026733</v>
      </c>
      <c r="L18" s="60">
        <v>1.0158083600038796</v>
      </c>
      <c r="M18" s="60">
        <v>1.0198813056379823</v>
      </c>
      <c r="N18" s="60">
        <v>1.0226583046732749</v>
      </c>
    </row>
    <row r="19" spans="1:15">
      <c r="M19" s="44"/>
      <c r="N19" s="44"/>
      <c r="O19" s="45"/>
    </row>
    <row r="20" spans="1:15">
      <c r="A20" s="5" t="s">
        <v>52</v>
      </c>
      <c r="B20" s="62" t="s">
        <v>53</v>
      </c>
      <c r="C20" s="62"/>
      <c r="D20" s="6"/>
      <c r="E20" s="6"/>
      <c r="F20" s="6"/>
      <c r="G20" s="63">
        <v>316.56</v>
      </c>
      <c r="H20" s="63">
        <v>312.48</v>
      </c>
      <c r="I20" s="63">
        <v>307.56</v>
      </c>
      <c r="J20" s="63">
        <v>302.76</v>
      </c>
      <c r="K20" s="63">
        <v>299.15999999999997</v>
      </c>
      <c r="L20" s="63">
        <v>306.71999999999997</v>
      </c>
      <c r="M20" s="63">
        <v>305.76</v>
      </c>
      <c r="N20" s="63">
        <v>304.20000000000005</v>
      </c>
    </row>
    <row r="21" spans="1:15">
      <c r="M21" s="44"/>
      <c r="N21" s="44"/>
      <c r="O21" s="45"/>
    </row>
    <row r="22" spans="1:15" s="47" customFormat="1" ht="6" customHeight="1">
      <c r="B22" s="48"/>
      <c r="C22" s="48"/>
      <c r="D22" s="49"/>
      <c r="E22" s="49"/>
      <c r="F22" s="49"/>
      <c r="G22" s="49"/>
      <c r="H22" s="33"/>
      <c r="I22" s="33"/>
      <c r="J22" s="50"/>
      <c r="K22" s="50"/>
      <c r="L22" s="50"/>
      <c r="M22" s="50"/>
      <c r="N22" s="50"/>
      <c r="O22" s="49"/>
    </row>
    <row r="23" spans="1:15" s="64" customFormat="1">
      <c r="A23" s="64" t="s">
        <v>54</v>
      </c>
      <c r="B23" s="65"/>
      <c r="C23" s="65"/>
      <c r="F23" s="64">
        <v>1756.2</v>
      </c>
      <c r="G23" s="66">
        <v>1725</v>
      </c>
      <c r="H23" s="66">
        <v>1684.8</v>
      </c>
      <c r="I23" s="66">
        <v>1653.6</v>
      </c>
      <c r="J23" s="66">
        <v>1615.8</v>
      </c>
      <c r="K23" s="66">
        <v>1578</v>
      </c>
      <c r="L23" s="66">
        <v>1551.6</v>
      </c>
      <c r="M23" s="66">
        <v>1524.6</v>
      </c>
      <c r="N23" s="66">
        <v>1501.8</v>
      </c>
    </row>
    <row r="24" spans="1:15" s="47" customFormat="1" ht="12.75" customHeight="1">
      <c r="A24" s="49" t="s">
        <v>55</v>
      </c>
      <c r="B24" s="56"/>
      <c r="C24" s="56"/>
      <c r="D24" s="33"/>
      <c r="E24" s="33"/>
      <c r="F24" s="33"/>
      <c r="G24" s="50">
        <v>396</v>
      </c>
      <c r="H24" s="50">
        <v>384</v>
      </c>
      <c r="I24" s="50">
        <v>372</v>
      </c>
      <c r="J24" s="50">
        <v>360</v>
      </c>
      <c r="K24" s="50">
        <v>348</v>
      </c>
      <c r="L24" s="50">
        <v>336</v>
      </c>
      <c r="M24" s="50">
        <v>324</v>
      </c>
      <c r="N24" s="50">
        <v>312</v>
      </c>
    </row>
    <row r="25" spans="1:15">
      <c r="F25" s="67"/>
      <c r="M25" s="44"/>
      <c r="N25" s="44"/>
      <c r="O25" s="45"/>
    </row>
    <row r="26" spans="1:15" collapsed="1">
      <c r="B26"/>
      <c r="C26"/>
      <c r="D26"/>
      <c r="E26"/>
      <c r="F26"/>
      <c r="G26"/>
      <c r="H26"/>
      <c r="I26"/>
      <c r="J26"/>
      <c r="K26"/>
      <c r="L26"/>
    </row>
    <row r="27" spans="1:15" hidden="1" outlineLevel="1">
      <c r="B27"/>
      <c r="C27"/>
      <c r="D27"/>
      <c r="E27"/>
      <c r="F27"/>
      <c r="G27"/>
      <c r="H27"/>
      <c r="I27"/>
      <c r="J27"/>
      <c r="K27"/>
      <c r="L27"/>
    </row>
    <row r="28" spans="1:15" hidden="1" outlineLevel="1">
      <c r="B28"/>
      <c r="C28"/>
      <c r="D28"/>
      <c r="E28"/>
      <c r="F28"/>
      <c r="G28"/>
      <c r="H28"/>
      <c r="I28"/>
      <c r="J28"/>
      <c r="K28"/>
      <c r="L28"/>
    </row>
    <row r="29" spans="1:15" hidden="1" outlineLevel="1">
      <c r="B29"/>
      <c r="C29"/>
      <c r="D29"/>
      <c r="E29"/>
      <c r="F29"/>
      <c r="G29"/>
      <c r="H29"/>
      <c r="I29"/>
      <c r="J29"/>
      <c r="K29"/>
      <c r="L29"/>
    </row>
    <row r="30" spans="1:15" ht="6" hidden="1" customHeight="1" outlineLevel="1">
      <c r="B30"/>
      <c r="C30"/>
      <c r="D30"/>
      <c r="E30"/>
      <c r="F30"/>
      <c r="G30"/>
      <c r="H30"/>
      <c r="I30"/>
      <c r="J30"/>
      <c r="K30"/>
      <c r="L30"/>
    </row>
    <row r="31" spans="1:15" hidden="1" outlineLevel="1">
      <c r="B31"/>
      <c r="C31"/>
      <c r="D31"/>
      <c r="E31"/>
      <c r="F31"/>
      <c r="G31"/>
      <c r="H31"/>
      <c r="I31"/>
      <c r="J31"/>
      <c r="K31"/>
      <c r="L31"/>
    </row>
    <row r="32" spans="1:15" hidden="1" outlineLevel="1">
      <c r="B32"/>
      <c r="C32"/>
      <c r="D32"/>
      <c r="E32"/>
      <c r="F32"/>
      <c r="G32"/>
      <c r="H32"/>
      <c r="I32"/>
      <c r="J32"/>
      <c r="K32"/>
      <c r="L32"/>
    </row>
    <row r="33" spans="2:15">
      <c r="M33" s="44"/>
      <c r="N33" s="44"/>
      <c r="O33" s="45"/>
    </row>
    <row r="34" spans="2:15" collapsed="1">
      <c r="B34"/>
      <c r="C34"/>
      <c r="D34"/>
      <c r="E34"/>
      <c r="F34"/>
      <c r="G34"/>
      <c r="H34"/>
      <c r="I34"/>
      <c r="J34"/>
      <c r="K34"/>
      <c r="L34"/>
    </row>
    <row r="35" spans="2:15" hidden="1" outlineLevel="1">
      <c r="B35"/>
      <c r="C35"/>
      <c r="D35"/>
      <c r="E35"/>
      <c r="F35"/>
      <c r="G35"/>
      <c r="H35"/>
      <c r="I35"/>
      <c r="J35"/>
      <c r="K35"/>
      <c r="L35"/>
    </row>
    <row r="36" spans="2:15" hidden="1" outlineLevel="1">
      <c r="B36"/>
      <c r="C36"/>
      <c r="D36"/>
      <c r="E36"/>
      <c r="F36"/>
      <c r="G36"/>
      <c r="H36"/>
      <c r="I36"/>
      <c r="J36"/>
      <c r="K36"/>
      <c r="L36"/>
    </row>
    <row r="37" spans="2:15" ht="6" hidden="1" customHeight="1" outlineLevel="1">
      <c r="B37"/>
      <c r="C37"/>
      <c r="D37"/>
      <c r="E37"/>
      <c r="F37"/>
      <c r="G37"/>
      <c r="H37"/>
      <c r="I37"/>
      <c r="J37"/>
      <c r="K37"/>
      <c r="L37"/>
    </row>
    <row r="38" spans="2:15" hidden="1" outlineLevel="1">
      <c r="B38"/>
      <c r="C38"/>
      <c r="D38"/>
      <c r="E38"/>
      <c r="F38"/>
      <c r="G38"/>
      <c r="H38"/>
      <c r="I38"/>
      <c r="J38"/>
      <c r="K38"/>
      <c r="L38"/>
    </row>
    <row r="39" spans="2:15" hidden="1" outlineLevel="1">
      <c r="B39"/>
      <c r="C39"/>
      <c r="D39"/>
      <c r="E39"/>
      <c r="F39"/>
      <c r="G39"/>
      <c r="H39"/>
      <c r="I39"/>
      <c r="J39"/>
      <c r="K39"/>
      <c r="L39"/>
    </row>
    <row r="40" spans="2:15" hidden="1" outlineLevel="1">
      <c r="B40"/>
      <c r="C40"/>
      <c r="D40"/>
      <c r="E40"/>
      <c r="F40"/>
      <c r="G40"/>
      <c r="H40"/>
      <c r="I40"/>
      <c r="J40"/>
      <c r="K40"/>
      <c r="L40"/>
    </row>
    <row r="41" spans="2:15" ht="6" hidden="1" customHeight="1" outlineLevel="1">
      <c r="B41"/>
      <c r="C41"/>
      <c r="D41"/>
      <c r="E41"/>
      <c r="F41"/>
      <c r="G41"/>
      <c r="H41"/>
      <c r="I41"/>
      <c r="J41"/>
      <c r="K41"/>
      <c r="L41"/>
    </row>
    <row r="42" spans="2:15" hidden="1" outlineLevel="1">
      <c r="B42"/>
      <c r="C42"/>
      <c r="D42"/>
      <c r="E42"/>
      <c r="F42"/>
      <c r="G42"/>
      <c r="H42"/>
      <c r="I42"/>
      <c r="J42"/>
      <c r="K42"/>
      <c r="L42"/>
    </row>
    <row r="43" spans="2:15" hidden="1" outlineLevel="1">
      <c r="B43"/>
      <c r="C43"/>
      <c r="D43"/>
      <c r="E43"/>
      <c r="F43"/>
      <c r="G43"/>
      <c r="H43"/>
      <c r="I43"/>
      <c r="J43"/>
      <c r="K43"/>
      <c r="L43"/>
    </row>
    <row r="44" spans="2:15" hidden="1" outlineLevel="1">
      <c r="B44"/>
      <c r="C44"/>
      <c r="D44"/>
      <c r="E44"/>
      <c r="F44"/>
      <c r="G44"/>
      <c r="H44"/>
      <c r="I44"/>
      <c r="J44"/>
      <c r="K44"/>
      <c r="L44"/>
    </row>
    <row r="45" spans="2:15" ht="6" hidden="1" customHeight="1" outlineLevel="1">
      <c r="B45"/>
      <c r="C45"/>
      <c r="D45"/>
      <c r="E45"/>
      <c r="F45"/>
      <c r="G45"/>
      <c r="H45"/>
      <c r="I45"/>
      <c r="J45"/>
      <c r="K45"/>
      <c r="L45"/>
    </row>
    <row r="46" spans="2:15" hidden="1" outlineLevel="1">
      <c r="B46"/>
      <c r="C46"/>
      <c r="D46"/>
      <c r="E46"/>
      <c r="F46"/>
      <c r="G46"/>
      <c r="H46"/>
      <c r="I46"/>
      <c r="J46"/>
      <c r="K46"/>
      <c r="L46"/>
    </row>
    <row r="47" spans="2:15" hidden="1" outlineLevel="1">
      <c r="B47"/>
      <c r="C47"/>
      <c r="D47"/>
      <c r="E47"/>
      <c r="F47"/>
      <c r="G47"/>
      <c r="H47"/>
      <c r="I47"/>
      <c r="J47"/>
      <c r="K47"/>
      <c r="L47"/>
    </row>
    <row r="48" spans="2:15" hidden="1" outlineLevel="1">
      <c r="B48"/>
      <c r="C48"/>
      <c r="D48"/>
      <c r="E48"/>
      <c r="F48"/>
      <c r="G48"/>
      <c r="H48"/>
      <c r="I48"/>
      <c r="J48"/>
      <c r="K48"/>
      <c r="L48"/>
    </row>
    <row r="49" spans="1:14" ht="6" hidden="1" customHeight="1" outlineLevel="1">
      <c r="B49"/>
      <c r="C49"/>
      <c r="D49"/>
      <c r="E49"/>
      <c r="F49"/>
      <c r="G49"/>
      <c r="H49"/>
      <c r="I49"/>
      <c r="J49"/>
      <c r="K49"/>
      <c r="L49"/>
    </row>
    <row r="50" spans="1:14" hidden="1" outlineLevel="1">
      <c r="B50"/>
      <c r="C50"/>
      <c r="D50"/>
      <c r="E50"/>
      <c r="F50"/>
      <c r="G50"/>
      <c r="H50"/>
      <c r="I50"/>
      <c r="J50"/>
      <c r="K50"/>
      <c r="L50"/>
    </row>
    <row r="51" spans="1:14" hidden="1" outlineLevel="1">
      <c r="B51"/>
      <c r="C51"/>
      <c r="D51"/>
      <c r="E51"/>
      <c r="F51"/>
      <c r="G51"/>
      <c r="H51"/>
      <c r="I51"/>
      <c r="J51"/>
      <c r="K51"/>
      <c r="L51"/>
    </row>
    <row r="52" spans="1:14" hidden="1" outlineLevel="1">
      <c r="B52"/>
      <c r="C52"/>
      <c r="D52"/>
      <c r="E52"/>
      <c r="F52"/>
      <c r="G52"/>
      <c r="H52"/>
      <c r="I52"/>
      <c r="J52"/>
      <c r="K52"/>
      <c r="L52"/>
    </row>
    <row r="53" spans="1:14" hidden="1" outlineLevel="1">
      <c r="B53"/>
      <c r="C53"/>
      <c r="D53"/>
      <c r="E53"/>
      <c r="F53"/>
      <c r="G53"/>
      <c r="H53"/>
      <c r="I53"/>
      <c r="J53"/>
      <c r="K53"/>
      <c r="L53"/>
    </row>
    <row r="54" spans="1:14" ht="6" hidden="1" customHeight="1" outlineLevel="1">
      <c r="B54"/>
      <c r="C54"/>
      <c r="D54"/>
      <c r="E54"/>
      <c r="F54"/>
      <c r="G54"/>
      <c r="H54"/>
      <c r="I54"/>
      <c r="J54"/>
      <c r="K54"/>
      <c r="L54"/>
    </row>
    <row r="55" spans="1:14" hidden="1" outlineLevel="1">
      <c r="B55"/>
      <c r="C55"/>
      <c r="D55"/>
      <c r="E55"/>
      <c r="F55"/>
      <c r="G55"/>
      <c r="H55"/>
      <c r="I55"/>
      <c r="J55"/>
      <c r="K55"/>
      <c r="L55"/>
    </row>
    <row r="56" spans="1:14" hidden="1" outlineLevel="1">
      <c r="B56"/>
      <c r="C56"/>
      <c r="D56"/>
      <c r="E56"/>
      <c r="F56"/>
      <c r="G56"/>
      <c r="H56"/>
      <c r="I56"/>
      <c r="J56"/>
      <c r="K56"/>
      <c r="L56"/>
    </row>
    <row r="57" spans="1:14" ht="6" hidden="1" customHeight="1" outlineLevel="1">
      <c r="B57"/>
      <c r="C57"/>
      <c r="D57"/>
      <c r="E57"/>
      <c r="F57"/>
      <c r="G57"/>
      <c r="H57"/>
      <c r="I57"/>
      <c r="J57"/>
      <c r="K57"/>
      <c r="L57"/>
    </row>
    <row r="58" spans="1:14" hidden="1" outlineLevel="1">
      <c r="B58"/>
      <c r="C58"/>
      <c r="D58"/>
      <c r="E58"/>
      <c r="F58"/>
      <c r="G58"/>
      <c r="H58"/>
      <c r="I58"/>
      <c r="J58"/>
      <c r="K58"/>
      <c r="L58"/>
    </row>
    <row r="59" spans="1:14" hidden="1" outlineLevel="1">
      <c r="B59"/>
      <c r="C59"/>
      <c r="D59"/>
      <c r="E59"/>
      <c r="F59"/>
      <c r="G59"/>
      <c r="H59"/>
      <c r="I59"/>
      <c r="J59"/>
      <c r="K59"/>
      <c r="L59"/>
    </row>
    <row r="60" spans="1:14" ht="6" hidden="1" customHeight="1" outlineLevel="1">
      <c r="B60"/>
      <c r="C60"/>
      <c r="D60"/>
      <c r="E60"/>
      <c r="F60"/>
      <c r="G60"/>
      <c r="H60"/>
      <c r="I60"/>
      <c r="J60"/>
      <c r="K60"/>
      <c r="L60"/>
    </row>
    <row r="61" spans="1:14" s="71" customFormat="1" ht="10" hidden="1" outlineLevel="1">
      <c r="A61" s="68" t="str">
        <f>A62&amp;" (berekend)"</f>
        <v>IB1-Max3 (berekend)</v>
      </c>
      <c r="B61" s="68"/>
      <c r="C61" s="68"/>
      <c r="D61" s="69">
        <f t="shared" ref="D61:F61" si="2">FLOOR(D58+(D48-D44)*D52,1)</f>
        <v>0</v>
      </c>
      <c r="E61" s="69">
        <f t="shared" si="2"/>
        <v>0</v>
      </c>
      <c r="F61" s="70">
        <f t="shared" si="2"/>
        <v>0</v>
      </c>
      <c r="G61" s="69">
        <v>0</v>
      </c>
      <c r="H61" s="69">
        <v>0</v>
      </c>
      <c r="I61" s="69">
        <v>0</v>
      </c>
      <c r="J61" s="69">
        <v>0</v>
      </c>
      <c r="K61" s="69">
        <v>0</v>
      </c>
      <c r="L61" s="69">
        <v>0</v>
      </c>
      <c r="M61" s="69">
        <v>0</v>
      </c>
      <c r="N61" s="69">
        <v>0</v>
      </c>
    </row>
    <row r="62" spans="1:14" s="76" customFormat="1" hidden="1" outlineLevel="1">
      <c r="A62" s="67" t="s">
        <v>56</v>
      </c>
      <c r="B62" s="72" t="s">
        <v>57</v>
      </c>
      <c r="C62" s="62"/>
      <c r="D62" s="73">
        <f t="shared" ref="D62:F62" si="3">D61</f>
        <v>0</v>
      </c>
      <c r="E62" s="73">
        <f t="shared" si="3"/>
        <v>0</v>
      </c>
      <c r="F62" s="73">
        <f t="shared" si="3"/>
        <v>0</v>
      </c>
      <c r="G62" s="74">
        <v>15917</v>
      </c>
      <c r="H62" s="74">
        <v>15702</v>
      </c>
      <c r="I62" s="74">
        <v>15989</v>
      </c>
      <c r="J62" s="74">
        <v>16320</v>
      </c>
      <c r="K62" s="74">
        <v>17718</v>
      </c>
      <c r="L62" s="74">
        <v>17171</v>
      </c>
      <c r="M62" s="75">
        <v>16575</v>
      </c>
      <c r="N62" s="75">
        <v>13639</v>
      </c>
    </row>
    <row r="63" spans="1:14" s="50" customFormat="1" hidden="1" outlineLevel="1">
      <c r="A63" s="33"/>
      <c r="B63" s="56"/>
      <c r="C63" s="56"/>
      <c r="D63" s="33"/>
      <c r="E63" s="33"/>
      <c r="F63" s="33"/>
      <c r="G63" s="33"/>
      <c r="H63" s="33"/>
      <c r="I63" s="33"/>
    </row>
    <row r="64" spans="1:14" s="72" customFormat="1" ht="10" hidden="1" outlineLevel="1">
      <c r="A64" s="77" t="str">
        <f>A66&amp;" (vlgs. tabelcorrectiefactor)"</f>
        <v>&lt;1946 (vlgs. tabelcorrectiefactor)</v>
      </c>
      <c r="B64" s="69" t="s">
        <v>44</v>
      </c>
      <c r="C64" s="77"/>
      <c r="D64" s="77"/>
      <c r="E64" s="77"/>
      <c r="F64" s="77"/>
      <c r="G64" s="77">
        <v>36409</v>
      </c>
      <c r="H64" s="77">
        <v>35941</v>
      </c>
      <c r="I64" s="77">
        <v>35375</v>
      </c>
      <c r="J64" s="77">
        <v>34817</v>
      </c>
      <c r="K64" s="77">
        <v>34404</v>
      </c>
      <c r="L64" s="77">
        <v>34130</v>
      </c>
      <c r="M64" s="77">
        <v>34027</v>
      </c>
      <c r="N64" s="77">
        <v>33857</v>
      </c>
    </row>
    <row r="65" spans="1:15" s="79" customFormat="1" ht="10" hidden="1" outlineLevel="1">
      <c r="A65" s="68" t="s">
        <v>58</v>
      </c>
      <c r="B65" s="68"/>
      <c r="C65" s="68"/>
      <c r="D65" s="68"/>
      <c r="E65" s="68"/>
      <c r="F65" s="68"/>
      <c r="G65" s="68">
        <v>0</v>
      </c>
      <c r="H65" s="68">
        <v>0</v>
      </c>
      <c r="I65" s="68">
        <v>0</v>
      </c>
      <c r="J65" s="68">
        <v>0</v>
      </c>
      <c r="K65" s="68">
        <v>0</v>
      </c>
      <c r="L65" s="68">
        <v>0</v>
      </c>
      <c r="M65" s="68">
        <v>0</v>
      </c>
      <c r="N65" s="68">
        <v>0</v>
      </c>
    </row>
    <row r="66" spans="1:15" s="76" customFormat="1" hidden="1" outlineLevel="1">
      <c r="A66" s="67" t="str">
        <f>A44&amp;"&lt;1946"</f>
        <v>&lt;1946</v>
      </c>
      <c r="B66" s="62" t="s">
        <v>59</v>
      </c>
      <c r="C66" s="62"/>
      <c r="D66" s="80"/>
      <c r="E66" s="80">
        <v>35941</v>
      </c>
      <c r="F66" s="81">
        <v>38703</v>
      </c>
      <c r="G66" s="74">
        <v>36409</v>
      </c>
      <c r="H66" s="74">
        <v>35941</v>
      </c>
      <c r="I66" s="74">
        <v>35375</v>
      </c>
      <c r="J66" s="74">
        <v>34817</v>
      </c>
      <c r="K66" s="74">
        <v>34404</v>
      </c>
      <c r="L66" s="74">
        <v>34130</v>
      </c>
      <c r="M66" s="75">
        <v>34027</v>
      </c>
      <c r="N66" s="75">
        <v>33857</v>
      </c>
    </row>
    <row r="67" spans="1:15" s="47" customFormat="1" ht="6" hidden="1" customHeight="1" outlineLevel="1">
      <c r="B67" s="48"/>
      <c r="C67" s="48"/>
      <c r="D67" s="49"/>
      <c r="E67" s="49"/>
      <c r="F67" s="49"/>
      <c r="G67" s="33"/>
      <c r="H67" s="33"/>
      <c r="I67" s="33"/>
      <c r="J67" s="50"/>
      <c r="K67" s="50"/>
      <c r="L67" s="50"/>
      <c r="M67" s="50"/>
      <c r="N67" s="50"/>
      <c r="O67" s="49"/>
    </row>
    <row r="68" spans="1:15" s="71" customFormat="1" ht="10" hidden="1" outlineLevel="1">
      <c r="A68" s="68" t="str">
        <f>A69&amp;" (berekend)"</f>
        <v>IB1-Max2&lt;1946 (berekend)</v>
      </c>
      <c r="B68" s="68"/>
      <c r="C68" s="68"/>
      <c r="D68" s="68"/>
      <c r="E68" s="68"/>
      <c r="F68" s="70">
        <f>FLOOR(F66*F51,1)</f>
        <v>0</v>
      </c>
      <c r="G68" s="70">
        <v>0</v>
      </c>
      <c r="H68" s="70">
        <v>0</v>
      </c>
      <c r="I68" s="70">
        <v>0</v>
      </c>
      <c r="J68" s="69">
        <v>0</v>
      </c>
      <c r="K68" s="69">
        <v>0</v>
      </c>
      <c r="L68" s="69">
        <v>0</v>
      </c>
      <c r="M68" s="69">
        <v>0</v>
      </c>
      <c r="N68" s="69">
        <v>0</v>
      </c>
    </row>
    <row r="69" spans="1:15" s="76" customFormat="1" hidden="1" outlineLevel="1">
      <c r="A69" s="67" t="s">
        <v>60</v>
      </c>
      <c r="B69" s="72" t="s">
        <v>59</v>
      </c>
      <c r="C69" s="62"/>
      <c r="D69" s="80"/>
      <c r="E69" s="80">
        <v>3371</v>
      </c>
      <c r="F69" s="81">
        <v>3591</v>
      </c>
      <c r="G69" s="74">
        <v>3429</v>
      </c>
      <c r="H69" s="74">
        <v>3396</v>
      </c>
      <c r="I69" s="74">
        <v>3431</v>
      </c>
      <c r="J69" s="74">
        <v>3342</v>
      </c>
      <c r="K69" s="74">
        <v>3674</v>
      </c>
      <c r="L69" s="74">
        <v>3638</v>
      </c>
      <c r="M69" s="75">
        <v>3400</v>
      </c>
      <c r="N69" s="75">
        <v>3598</v>
      </c>
    </row>
    <row r="70" spans="1:15" s="47" customFormat="1" ht="6" hidden="1" customHeight="1" outlineLevel="1">
      <c r="B70" s="48"/>
      <c r="C70" s="48"/>
      <c r="D70" s="49"/>
      <c r="E70" s="49"/>
      <c r="F70" s="49"/>
      <c r="G70" s="33"/>
      <c r="H70" s="33"/>
      <c r="I70" s="33"/>
      <c r="J70" s="50"/>
      <c r="K70" s="50"/>
      <c r="L70" s="50"/>
      <c r="M70" s="50"/>
      <c r="N70" s="50"/>
      <c r="O70" s="49"/>
    </row>
    <row r="71" spans="1:15" s="71" customFormat="1" ht="10" hidden="1" outlineLevel="1">
      <c r="A71" s="68" t="str">
        <f>A72&amp;" (berekend)"</f>
        <v>IB1-Max3&lt;1946 (berekend)</v>
      </c>
      <c r="B71" s="68"/>
      <c r="C71" s="68"/>
      <c r="D71" s="68"/>
      <c r="E71" s="68"/>
      <c r="F71" s="69">
        <f t="shared" ref="F71" si="4">FLOOR(F68+(F48-F66)*F52,1)</f>
        <v>0</v>
      </c>
      <c r="G71" s="69">
        <v>0</v>
      </c>
      <c r="H71" s="69">
        <v>0</v>
      </c>
      <c r="I71" s="69">
        <v>0</v>
      </c>
      <c r="J71" s="69">
        <v>0</v>
      </c>
      <c r="K71" s="69">
        <v>0</v>
      </c>
      <c r="L71" s="69">
        <v>0</v>
      </c>
      <c r="M71" s="69">
        <v>0</v>
      </c>
      <c r="N71" s="69">
        <v>0</v>
      </c>
    </row>
    <row r="72" spans="1:15" s="76" customFormat="1" hidden="1" outlineLevel="1">
      <c r="A72" s="67" t="s">
        <v>61</v>
      </c>
      <c r="B72" s="72" t="s">
        <v>59</v>
      </c>
      <c r="C72" s="72"/>
      <c r="D72" s="80"/>
      <c r="E72" s="80">
        <v>15430</v>
      </c>
      <c r="F72" s="81">
        <v>16268</v>
      </c>
      <c r="G72" s="74">
        <v>15658</v>
      </c>
      <c r="H72" s="74">
        <v>15477</v>
      </c>
      <c r="I72" s="74">
        <v>15805</v>
      </c>
      <c r="J72" s="74">
        <v>16177</v>
      </c>
      <c r="K72" s="74">
        <v>17605</v>
      </c>
      <c r="L72" s="74">
        <v>17078</v>
      </c>
      <c r="M72" s="75">
        <v>16487</v>
      </c>
      <c r="N72" s="75">
        <v>13563</v>
      </c>
    </row>
    <row r="73" spans="1:15" s="50" customFormat="1" hidden="1" outlineLevel="1">
      <c r="A73" s="33"/>
      <c r="B73" s="56"/>
      <c r="C73" s="56"/>
      <c r="D73" s="33"/>
      <c r="E73" s="33"/>
      <c r="F73" s="33"/>
      <c r="G73" s="33"/>
      <c r="H73" s="33"/>
      <c r="I73" s="33"/>
    </row>
    <row r="74" spans="1:15" s="85" customFormat="1" hidden="1" outlineLevel="1">
      <c r="A74" s="82" t="s">
        <v>62</v>
      </c>
      <c r="B74" s="83" t="s">
        <v>63</v>
      </c>
      <c r="C74" s="83"/>
      <c r="D74" s="41"/>
      <c r="E74" s="41"/>
      <c r="F74" s="41"/>
      <c r="G74" s="41">
        <v>0.03</v>
      </c>
      <c r="H74" s="82">
        <v>0.03</v>
      </c>
      <c r="I74" s="82">
        <v>0.03</v>
      </c>
      <c r="J74" s="84">
        <v>5.0000000000000001E-3</v>
      </c>
      <c r="K74" s="84">
        <v>5.0000000000000001E-3</v>
      </c>
      <c r="L74" s="84">
        <v>5.0000000000000001E-3</v>
      </c>
      <c r="M74" s="84">
        <v>5.0000000000000001E-3</v>
      </c>
      <c r="N74" s="84">
        <v>5.0000000000000001E-3</v>
      </c>
    </row>
    <row r="75" spans="1:15" s="83" customFormat="1" ht="10" hidden="1" outlineLevel="1">
      <c r="A75" s="60" t="str">
        <f>A76&amp;" (berekend)"</f>
        <v>IB1-AanpEigenWoning (berekend)</v>
      </c>
      <c r="B75" s="68"/>
      <c r="C75" s="68"/>
      <c r="D75" s="68"/>
      <c r="E75" s="68"/>
      <c r="F75" s="68"/>
      <c r="G75" s="86">
        <v>9.5000000000000001E-2</v>
      </c>
      <c r="H75" s="86">
        <v>6.5000000000000002E-2</v>
      </c>
      <c r="I75" s="86">
        <v>5.949999999999997E-2</v>
      </c>
      <c r="J75" s="86">
        <v>2.9499999999999967E-2</v>
      </c>
      <c r="K75" s="86">
        <v>2.5000000000000019E-2</v>
      </c>
      <c r="L75" s="86">
        <v>2.0000000000000014E-2</v>
      </c>
      <c r="M75" s="86">
        <v>1.500000000000001E-2</v>
      </c>
      <c r="N75" s="86">
        <v>1.0000000000000005E-2</v>
      </c>
    </row>
    <row r="76" spans="1:15" hidden="1" outlineLevel="1">
      <c r="A76" s="5" t="s">
        <v>64</v>
      </c>
      <c r="B76" s="72" t="s">
        <v>65</v>
      </c>
      <c r="C76" s="72"/>
      <c r="D76" s="67"/>
      <c r="E76" s="67"/>
      <c r="F76" s="67"/>
      <c r="G76" s="82">
        <v>9.5000000000000001E-2</v>
      </c>
      <c r="H76" s="82">
        <v>6.5000000000000002E-2</v>
      </c>
      <c r="I76" s="82">
        <v>3.5000000000000003E-2</v>
      </c>
      <c r="J76" s="82">
        <v>2.9499999999999967E-2</v>
      </c>
      <c r="K76" s="82">
        <v>2.4499999999999966E-2</v>
      </c>
      <c r="L76" s="82">
        <v>2.0000000000000018E-2</v>
      </c>
      <c r="M76" s="82">
        <v>1.5000000000000013E-2</v>
      </c>
      <c r="N76" s="82">
        <v>1.0000000000000009E-2</v>
      </c>
    </row>
    <row r="77" spans="1:15">
      <c r="A77" s="5"/>
      <c r="H77" s="41"/>
      <c r="I77" s="41"/>
      <c r="J77" s="85"/>
      <c r="K77" s="85"/>
      <c r="L77" s="85"/>
      <c r="M77" s="42"/>
      <c r="N77" s="42"/>
    </row>
    <row r="78" spans="1:15" collapsed="1">
      <c r="B78"/>
      <c r="C78"/>
      <c r="D78"/>
      <c r="E78"/>
      <c r="F78"/>
      <c r="G78"/>
      <c r="H78"/>
      <c r="I78"/>
      <c r="J78"/>
      <c r="K78"/>
      <c r="L78"/>
    </row>
    <row r="79" spans="1:15" hidden="1" outlineLevel="1">
      <c r="B79"/>
      <c r="C79"/>
      <c r="D79"/>
      <c r="E79"/>
      <c r="F79"/>
      <c r="G79"/>
      <c r="H79"/>
      <c r="I79"/>
      <c r="J79"/>
      <c r="K79"/>
      <c r="L79"/>
    </row>
    <row r="80" spans="1:15" hidden="1" outlineLevel="1">
      <c r="B80"/>
      <c r="C80"/>
      <c r="D80"/>
      <c r="E80"/>
      <c r="F80"/>
      <c r="G80"/>
      <c r="H80"/>
      <c r="I80"/>
      <c r="J80"/>
      <c r="K80"/>
      <c r="L80"/>
    </row>
    <row r="81" spans="1:14" hidden="1" outlineLevel="1">
      <c r="B81"/>
      <c r="C81"/>
      <c r="D81"/>
      <c r="E81"/>
      <c r="F81"/>
      <c r="G81"/>
      <c r="H81"/>
      <c r="I81"/>
      <c r="J81"/>
      <c r="K81"/>
      <c r="L81"/>
    </row>
    <row r="82" spans="1:14" hidden="1" outlineLevel="1">
      <c r="B82"/>
      <c r="C82"/>
      <c r="D82"/>
      <c r="E82"/>
      <c r="F82"/>
      <c r="G82"/>
      <c r="H82"/>
      <c r="I82"/>
      <c r="J82"/>
      <c r="K82"/>
      <c r="L82"/>
    </row>
    <row r="84" spans="1:14" ht="13" collapsed="1">
      <c r="A84" s="87" t="s">
        <v>13</v>
      </c>
    </row>
    <row r="85" spans="1:14" s="43" customFormat="1" ht="10" hidden="1" outlineLevel="1">
      <c r="A85" s="43" t="s">
        <v>66</v>
      </c>
      <c r="H85" s="83"/>
      <c r="I85" s="83"/>
      <c r="J85" s="83"/>
      <c r="K85" s="83"/>
      <c r="L85" s="83"/>
      <c r="M85" s="40"/>
      <c r="N85" s="40"/>
    </row>
    <row r="86" spans="1:14" s="93" customFormat="1" hidden="1" outlineLevel="1">
      <c r="A86" s="88" t="s">
        <v>67</v>
      </c>
      <c r="B86" s="89" t="s">
        <v>68</v>
      </c>
      <c r="C86" s="89"/>
      <c r="D86" s="90">
        <v>0.34</v>
      </c>
      <c r="E86" s="90">
        <v>0.33</v>
      </c>
      <c r="F86" s="90">
        <v>0.32</v>
      </c>
      <c r="G86" s="91">
        <v>0.31</v>
      </c>
      <c r="H86" s="91">
        <v>0.31</v>
      </c>
      <c r="I86" s="91">
        <v>0.3</v>
      </c>
      <c r="J86" s="91">
        <v>0.3</v>
      </c>
      <c r="K86" s="91">
        <v>0.3</v>
      </c>
      <c r="L86" s="91">
        <v>0.3</v>
      </c>
      <c r="M86" s="92">
        <v>0.3</v>
      </c>
      <c r="N86" s="92">
        <v>0.3</v>
      </c>
    </row>
    <row r="87" spans="1:14">
      <c r="A87" s="5"/>
      <c r="H87" s="41"/>
      <c r="I87" s="41"/>
      <c r="J87" s="85"/>
      <c r="K87" s="85"/>
      <c r="L87" s="85"/>
      <c r="M87" s="42"/>
      <c r="N87" s="42"/>
    </row>
    <row r="88" spans="1:14" collapsed="1">
      <c r="B88"/>
      <c r="C88"/>
      <c r="D88"/>
      <c r="E88"/>
      <c r="F88"/>
      <c r="G88"/>
      <c r="H88"/>
      <c r="I88"/>
      <c r="J88"/>
      <c r="K88"/>
      <c r="L88"/>
    </row>
    <row r="89" spans="1:14" hidden="1" outlineLevel="1">
      <c r="B89"/>
      <c r="C89"/>
      <c r="D89"/>
      <c r="E89"/>
      <c r="F89"/>
      <c r="G89"/>
      <c r="H89"/>
      <c r="I89"/>
      <c r="J89"/>
      <c r="K89"/>
      <c r="L89"/>
    </row>
    <row r="90" spans="1:14" hidden="1" outlineLevel="1">
      <c r="B90"/>
      <c r="C90"/>
      <c r="D90"/>
      <c r="E90"/>
      <c r="F90"/>
      <c r="G90"/>
      <c r="H90"/>
      <c r="I90"/>
      <c r="J90"/>
      <c r="K90"/>
      <c r="L90"/>
    </row>
    <row r="91" spans="1:14" ht="6" hidden="1" customHeight="1" outlineLevel="1">
      <c r="B91"/>
      <c r="C91"/>
      <c r="D91"/>
      <c r="E91"/>
      <c r="F91"/>
      <c r="G91"/>
      <c r="H91"/>
      <c r="I91"/>
      <c r="J91"/>
      <c r="K91"/>
      <c r="L91"/>
    </row>
    <row r="92" spans="1:14" hidden="1" outlineLevel="1">
      <c r="B92"/>
      <c r="C92"/>
      <c r="D92"/>
      <c r="E92"/>
      <c r="F92"/>
      <c r="G92"/>
      <c r="H92"/>
      <c r="I92"/>
      <c r="J92"/>
      <c r="K92"/>
      <c r="L92"/>
    </row>
    <row r="93" spans="1:14" hidden="1" outlineLevel="1">
      <c r="B93"/>
      <c r="C93"/>
      <c r="D93"/>
      <c r="E93"/>
      <c r="F93"/>
      <c r="G93"/>
      <c r="H93"/>
      <c r="I93"/>
      <c r="J93"/>
      <c r="K93"/>
      <c r="L93"/>
    </row>
    <row r="94" spans="1:14" hidden="1" outlineLevel="1">
      <c r="B94"/>
      <c r="C94"/>
      <c r="D94"/>
      <c r="E94"/>
      <c r="F94"/>
      <c r="G94"/>
      <c r="H94"/>
      <c r="I94"/>
      <c r="J94"/>
      <c r="K94"/>
      <c r="L94"/>
    </row>
    <row r="95" spans="1:14" ht="6" hidden="1" customHeight="1" outlineLevel="1">
      <c r="B95"/>
      <c r="C95"/>
      <c r="D95"/>
      <c r="E95"/>
      <c r="F95"/>
      <c r="G95"/>
      <c r="H95"/>
      <c r="I95"/>
      <c r="J95"/>
      <c r="K95"/>
      <c r="L95"/>
    </row>
    <row r="96" spans="1:14" hidden="1" outlineLevel="1">
      <c r="B96"/>
      <c r="C96"/>
      <c r="D96"/>
      <c r="E96"/>
      <c r="F96"/>
      <c r="G96"/>
      <c r="H96"/>
      <c r="I96"/>
      <c r="J96"/>
      <c r="K96"/>
      <c r="L96"/>
    </row>
    <row r="97" customFormat="1" hidden="1" outlineLevel="1"/>
    <row r="98" customFormat="1" hidden="1" outlineLevel="1"/>
    <row r="99" customFormat="1" ht="6" hidden="1" customHeight="1" outlineLevel="1"/>
    <row r="100" customFormat="1" hidden="1" outlineLevel="1"/>
    <row r="101" customFormat="1" hidden="1" outlineLevel="1"/>
    <row r="102" customFormat="1" hidden="1" outlineLevel="1"/>
    <row r="103" customFormat="1" ht="6" hidden="1" customHeight="1" outlineLevel="1"/>
    <row r="104" customFormat="1" hidden="1" outlineLevel="1"/>
    <row r="105" customFormat="1" hidden="1" outlineLevel="1"/>
    <row r="106" customFormat="1" hidden="1" outlineLevel="1"/>
    <row r="107" customFormat="1" ht="6" hidden="1" customHeight="1" outlineLevel="1"/>
    <row r="108" customFormat="1" hidden="1" outlineLevel="1"/>
    <row r="109" customFormat="1" hidden="1" outlineLevel="2"/>
    <row r="110" customFormat="1" hidden="1" outlineLevel="2"/>
    <row r="111" customFormat="1" hidden="1" outlineLevel="2"/>
    <row r="112" customFormat="1" hidden="1" outlineLevel="2"/>
    <row r="113" customFormat="1" hidden="1" outlineLevel="2"/>
    <row r="114" customFormat="1" ht="6" hidden="1" customHeight="1" outlineLevel="2"/>
    <row r="115" customFormat="1" hidden="1" outlineLevel="1"/>
    <row r="116" customFormat="1" ht="6" hidden="1" customHeight="1" outlineLevel="1"/>
    <row r="117" customFormat="1" hidden="1" outlineLevel="1"/>
    <row r="118" customFormat="1" hidden="1" outlineLevel="1"/>
    <row r="119" customFormat="1" hidden="1" outlineLevel="1"/>
    <row r="120" customFormat="1" ht="6" hidden="1" customHeight="1" outlineLevel="1"/>
    <row r="121" customFormat="1" hidden="1" outlineLevel="1"/>
    <row r="122" customFormat="1" hidden="1" outlineLevel="1"/>
    <row r="123" customFormat="1" hidden="1" outlineLevel="1"/>
    <row r="124" customFormat="1" hidden="1" outlineLevel="1"/>
    <row r="125" customFormat="1" hidden="1" outlineLevel="1"/>
    <row r="126" customFormat="1" ht="6" hidden="1" customHeight="1" outlineLevel="1"/>
    <row r="127" customFormat="1" hidden="1" outlineLevel="1"/>
    <row r="128" customFormat="1" hidden="1" outlineLevel="1"/>
    <row r="129" spans="1:15" hidden="1" outlineLevel="1">
      <c r="B129"/>
      <c r="C129"/>
      <c r="D129"/>
      <c r="E129"/>
      <c r="F129"/>
      <c r="G129"/>
      <c r="H129"/>
      <c r="I129"/>
      <c r="J129"/>
      <c r="K129"/>
      <c r="L129"/>
    </row>
    <row r="130" spans="1:15">
      <c r="B130"/>
      <c r="C130"/>
      <c r="D130"/>
      <c r="E130"/>
      <c r="F130"/>
      <c r="G130"/>
      <c r="H130"/>
      <c r="I130"/>
      <c r="J130"/>
      <c r="K130"/>
      <c r="L130"/>
    </row>
    <row r="131" spans="1:15" s="47" customFormat="1" ht="13" collapsed="1">
      <c r="A131" s="94" t="s">
        <v>69</v>
      </c>
      <c r="B131" s="48"/>
      <c r="C131" s="48"/>
      <c r="D131" s="49"/>
      <c r="E131" s="49"/>
      <c r="F131" s="49"/>
      <c r="G131" s="49"/>
      <c r="H131" s="33"/>
      <c r="I131" s="33"/>
      <c r="J131" s="50"/>
      <c r="K131" s="50"/>
      <c r="L131" s="50"/>
    </row>
    <row r="132" spans="1:15" s="95" customFormat="1" ht="10.5" hidden="1" outlineLevel="1" collapsed="1">
      <c r="A132" s="95" t="s">
        <v>70</v>
      </c>
      <c r="D132" s="96"/>
      <c r="E132" s="96"/>
      <c r="F132" s="96"/>
      <c r="G132" s="96"/>
      <c r="H132" s="96"/>
      <c r="I132" s="96"/>
      <c r="J132" s="96"/>
      <c r="K132" s="96"/>
      <c r="L132" s="96"/>
    </row>
    <row r="133" spans="1:15" s="42" customFormat="1" hidden="1" outlineLevel="2">
      <c r="A133" s="39" t="s">
        <v>71</v>
      </c>
      <c r="B133" s="83" t="s">
        <v>72</v>
      </c>
      <c r="C133" s="83"/>
      <c r="D133" s="41"/>
      <c r="E133" s="41"/>
      <c r="F133" s="41"/>
      <c r="G133" s="41"/>
      <c r="H133" s="97">
        <v>-5.6206666666666662E-3</v>
      </c>
      <c r="I133" s="97">
        <v>-5.7749999999999989E-3</v>
      </c>
      <c r="J133" s="97">
        <v>-4.5249999999999986E-3</v>
      </c>
      <c r="K133" s="97">
        <v>-4.1416666666666676E-3</v>
      </c>
      <c r="L133" s="97">
        <v>-4.2666666666666669E-3</v>
      </c>
      <c r="M133" s="97">
        <v>-3.9916666666666668E-3</v>
      </c>
      <c r="N133" s="97">
        <v>-2.2250000000000004E-3</v>
      </c>
      <c r="O133" s="39"/>
    </row>
    <row r="134" spans="1:15" s="47" customFormat="1" ht="6" hidden="1" customHeight="1" outlineLevel="2">
      <c r="B134" s="48"/>
      <c r="C134" s="48"/>
      <c r="D134" s="49"/>
      <c r="E134" s="49"/>
      <c r="F134" s="49"/>
      <c r="G134" s="49"/>
      <c r="H134" s="33"/>
      <c r="I134" s="33"/>
      <c r="J134" s="50"/>
      <c r="K134" s="50"/>
      <c r="L134" s="50"/>
      <c r="M134" s="50"/>
      <c r="N134" s="50"/>
      <c r="O134" s="49"/>
    </row>
    <row r="135" spans="1:15" s="101" customFormat="1" hidden="1" outlineLevel="2">
      <c r="A135" s="98" t="str">
        <f>A137&amp;" (berekend)"</f>
        <v>Voordeel sparen/bel. Klasse I (berekend)</v>
      </c>
      <c r="B135" s="99" t="s">
        <v>72</v>
      </c>
      <c r="C135" s="99"/>
      <c r="D135" s="99"/>
      <c r="E135" s="99"/>
      <c r="F135" s="99"/>
      <c r="G135" s="99"/>
      <c r="H135" s="100">
        <v>-4.7999999999999996E-3</v>
      </c>
      <c r="I135" s="100">
        <v>-4.4999999999999997E-3</v>
      </c>
      <c r="J135" s="100">
        <v>-4.5999999999999999E-3</v>
      </c>
      <c r="K135" s="100">
        <v>-4.3E-3</v>
      </c>
      <c r="L135" s="100">
        <v>-2.5000000000000001E-3</v>
      </c>
    </row>
    <row r="136" spans="1:15" s="104" customFormat="1" ht="10" hidden="1" outlineLevel="2">
      <c r="A136" s="102" t="s">
        <v>58</v>
      </c>
      <c r="B136" s="102"/>
      <c r="C136" s="102"/>
      <c r="D136" s="102"/>
      <c r="E136" s="102"/>
      <c r="F136" s="102"/>
      <c r="G136" s="102"/>
      <c r="H136" s="103">
        <v>0</v>
      </c>
      <c r="I136" s="103">
        <v>5.0999999999999995E-3</v>
      </c>
      <c r="J136" s="103">
        <v>5.8999999999999999E-3</v>
      </c>
      <c r="K136" s="103">
        <v>7.9000000000000008E-3</v>
      </c>
      <c r="L136" s="103">
        <v>1.8799999999999997E-2</v>
      </c>
    </row>
    <row r="137" spans="1:15" s="47" customFormat="1" hidden="1" outlineLevel="2">
      <c r="A137" s="33" t="s">
        <v>24</v>
      </c>
      <c r="B137" s="72" t="s">
        <v>73</v>
      </c>
      <c r="C137" s="72"/>
      <c r="D137" s="67"/>
      <c r="E137" s="67"/>
      <c r="F137" s="67"/>
      <c r="G137" s="82">
        <v>-1E-4</v>
      </c>
      <c r="H137" s="82">
        <v>2.9999999999999997E-4</v>
      </c>
      <c r="I137" s="136">
        <v>6.9999999999999999E-4</v>
      </c>
      <c r="J137" s="82">
        <v>1.2999999999999999E-3</v>
      </c>
      <c r="K137" s="82">
        <v>3.5999999999999999E-3</v>
      </c>
      <c r="L137" s="82">
        <v>1.6299999999999999E-2</v>
      </c>
      <c r="M137" s="93"/>
    </row>
    <row r="138" spans="1:15" hidden="1" outlineLevel="1">
      <c r="B138" s="5"/>
      <c r="C138" s="5"/>
      <c r="H138" s="5"/>
      <c r="I138" s="5"/>
      <c r="J138"/>
      <c r="K138"/>
      <c r="L138"/>
    </row>
    <row r="139" spans="1:15" s="95" customFormat="1" ht="10.5" hidden="1" outlineLevel="1">
      <c r="A139" s="95" t="s">
        <v>74</v>
      </c>
      <c r="D139" s="96"/>
      <c r="E139" s="96"/>
      <c r="F139" s="96"/>
      <c r="G139" s="96"/>
      <c r="H139" s="96"/>
      <c r="I139" s="96"/>
      <c r="J139" s="96"/>
      <c r="K139" s="96"/>
      <c r="L139" s="96"/>
    </row>
    <row r="140" spans="1:15" s="109" customFormat="1" hidden="1" outlineLevel="2">
      <c r="A140" s="105" t="s">
        <v>75</v>
      </c>
      <c r="B140" s="106" t="s">
        <v>76</v>
      </c>
      <c r="C140" s="106"/>
      <c r="D140" s="107"/>
      <c r="E140" s="107"/>
      <c r="F140" s="107"/>
      <c r="G140" s="107"/>
      <c r="H140" s="108">
        <v>163.4</v>
      </c>
      <c r="I140" s="108">
        <v>141.88333333333333</v>
      </c>
      <c r="J140" s="108">
        <v>131.64999999999998</v>
      </c>
      <c r="K140" s="108">
        <v>123.18333333333334</v>
      </c>
      <c r="L140" s="108">
        <v>112.99166666666667</v>
      </c>
      <c r="M140" s="108">
        <v>105.05</v>
      </c>
      <c r="N140" s="108">
        <v>100.00833333333333</v>
      </c>
      <c r="O140" s="105"/>
    </row>
    <row r="141" spans="1:15" s="42" customFormat="1" hidden="1" outlineLevel="2">
      <c r="A141" s="110" t="s">
        <v>77</v>
      </c>
      <c r="B141" s="83"/>
      <c r="C141" s="83"/>
      <c r="D141" s="41"/>
      <c r="E141" s="41"/>
      <c r="F141" s="41"/>
      <c r="G141" s="41"/>
      <c r="H141" s="101">
        <v>0.15165041700928006</v>
      </c>
      <c r="I141" s="101">
        <v>7.7731358399797612E-2</v>
      </c>
      <c r="J141" s="101">
        <v>6.8732241915843373E-2</v>
      </c>
      <c r="K141" s="101">
        <v>9.0198392211815026E-2</v>
      </c>
      <c r="L141" s="101">
        <v>7.5598921148659404E-2</v>
      </c>
      <c r="M141" s="101">
        <v>5.0412465627864389E-2</v>
      </c>
      <c r="N141" s="101">
        <v>2.8539595474802892E-2</v>
      </c>
      <c r="O141" s="39"/>
    </row>
    <row r="142" spans="1:15" s="40" customFormat="1" ht="10" hidden="1" outlineLevel="2">
      <c r="A142" s="99" t="str">
        <f>A144&amp;" (berekend)"</f>
        <v>LT rendement onroerend goed (berekend)</v>
      </c>
      <c r="B142" s="61" t="s">
        <v>78</v>
      </c>
      <c r="C142" s="61"/>
      <c r="D142" s="61"/>
      <c r="E142" s="61"/>
      <c r="F142" s="61"/>
      <c r="G142" s="61"/>
      <c r="H142" s="86">
        <v>4.8714277880196777E-2</v>
      </c>
      <c r="I142" s="86">
        <v>4.7298854741434582E-2</v>
      </c>
      <c r="J142" s="86">
        <v>4.4300437705640183E-2</v>
      </c>
      <c r="K142" s="86">
        <v>4.2091804628688667E-2</v>
      </c>
      <c r="L142" s="86">
        <v>4.1563439525661439E-2</v>
      </c>
      <c r="M142" s="86">
        <v>5.9306843857112046E-3</v>
      </c>
      <c r="N142" s="86">
        <v>5.7184849115055059E-3</v>
      </c>
    </row>
    <row r="143" spans="1:15" s="40" customFormat="1" ht="10" hidden="1" outlineLevel="2">
      <c r="A143" s="99" t="s">
        <v>79</v>
      </c>
      <c r="B143" s="99"/>
      <c r="C143" s="99"/>
      <c r="D143" s="99"/>
      <c r="E143" s="99"/>
      <c r="F143" s="99"/>
      <c r="G143" s="99"/>
      <c r="H143" s="86"/>
      <c r="I143" s="103">
        <v>-1.145258565420082E-6</v>
      </c>
      <c r="J143" s="103">
        <v>0</v>
      </c>
      <c r="K143" s="103">
        <v>0</v>
      </c>
      <c r="L143" s="103">
        <v>-9.9999999999995925E-5</v>
      </c>
      <c r="M143" s="103">
        <v>3.6569315614288798E-2</v>
      </c>
      <c r="N143" s="86"/>
    </row>
    <row r="144" spans="1:15" s="42" customFormat="1" hidden="1" outlineLevel="2">
      <c r="A144" s="41" t="s">
        <v>80</v>
      </c>
      <c r="B144" s="83"/>
      <c r="C144" s="83"/>
      <c r="D144" s="41"/>
      <c r="E144" s="41"/>
      <c r="F144" s="41"/>
      <c r="G144" s="41"/>
      <c r="H144" s="101">
        <v>4.8714277880196777E-2</v>
      </c>
      <c r="I144" s="101">
        <v>4.7298854741434582E-2</v>
      </c>
      <c r="J144" s="82">
        <v>4.4299999999999999E-2</v>
      </c>
      <c r="K144" s="82">
        <v>4.2099999999999999E-2</v>
      </c>
      <c r="L144" s="82">
        <v>4.1500000000000002E-2</v>
      </c>
      <c r="M144" s="82">
        <v>4.2500000000000003E-2</v>
      </c>
      <c r="N144" s="101">
        <v>5.7184849115055059E-3</v>
      </c>
      <c r="O144" s="39"/>
    </row>
    <row r="145" spans="1:15" s="111" customFormat="1" hidden="1" outlineLevel="2">
      <c r="A145" s="111" t="s">
        <v>81</v>
      </c>
      <c r="B145" s="112"/>
      <c r="C145" s="112"/>
      <c r="H145" s="91">
        <v>0.53</v>
      </c>
      <c r="I145" s="91">
        <v>0.53</v>
      </c>
      <c r="J145" s="91">
        <v>0.53</v>
      </c>
      <c r="K145" s="91">
        <v>0.53</v>
      </c>
      <c r="L145" s="91">
        <v>0.53</v>
      </c>
    </row>
    <row r="146" spans="1:15" s="85" customFormat="1" hidden="1" outlineLevel="2">
      <c r="A146" s="41"/>
      <c r="B146" s="83"/>
      <c r="C146" s="83"/>
      <c r="D146" s="41"/>
      <c r="E146" s="41"/>
      <c r="F146" s="41"/>
      <c r="G146" s="41"/>
      <c r="H146" s="101"/>
      <c r="I146" s="101"/>
      <c r="J146" s="101"/>
      <c r="K146" s="101"/>
      <c r="L146" s="101"/>
      <c r="M146" s="41"/>
      <c r="N146" s="101"/>
      <c r="O146" s="41"/>
    </row>
    <row r="147" spans="1:15" s="47" customFormat="1" hidden="1" outlineLevel="2">
      <c r="A147" s="59" t="s">
        <v>82</v>
      </c>
      <c r="B147" s="113" t="s">
        <v>83</v>
      </c>
      <c r="C147" s="113"/>
      <c r="D147" s="114"/>
      <c r="E147" s="114"/>
      <c r="F147" s="114"/>
      <c r="G147" s="114"/>
      <c r="H147" s="115">
        <v>12308.406999999999</v>
      </c>
      <c r="I147" s="115">
        <v>9980.9740000000002</v>
      </c>
      <c r="J147" s="115">
        <v>10154.165000000001</v>
      </c>
      <c r="K147" s="115">
        <v>8151.4949999999999</v>
      </c>
      <c r="L147" s="115">
        <v>9059.0910000000003</v>
      </c>
      <c r="M147" s="115">
        <v>7966.4859999999999</v>
      </c>
      <c r="N147" s="115">
        <v>7383.1289999999999</v>
      </c>
      <c r="O147" s="49"/>
    </row>
    <row r="148" spans="1:15" s="42" customFormat="1" hidden="1" outlineLevel="2">
      <c r="A148" s="39" t="s">
        <v>84</v>
      </c>
      <c r="B148" s="83"/>
      <c r="C148" s="83"/>
      <c r="D148" s="41"/>
      <c r="E148" s="41"/>
      <c r="F148" s="41"/>
      <c r="G148" s="41"/>
      <c r="H148" s="101">
        <v>0.23318696151297447</v>
      </c>
      <c r="I148" s="101">
        <v>-1.7056153804867358E-2</v>
      </c>
      <c r="J148" s="101">
        <v>0.24568131367313617</v>
      </c>
      <c r="K148" s="101">
        <v>-0.10018621073571299</v>
      </c>
      <c r="L148" s="116">
        <v>0.13715018139741919</v>
      </c>
      <c r="M148" s="116">
        <v>7.9012164083818615E-2</v>
      </c>
      <c r="N148" s="116">
        <v>5.4489428510422266E-2</v>
      </c>
      <c r="O148" s="39"/>
    </row>
    <row r="149" spans="1:15" s="40" customFormat="1" ht="10" hidden="1" outlineLevel="2">
      <c r="A149" s="99" t="str">
        <f>A151&amp;" (berekend)"</f>
        <v>LT rendement aandelen (berekend)</v>
      </c>
      <c r="B149" s="61" t="s">
        <v>78</v>
      </c>
      <c r="C149" s="61"/>
      <c r="D149" s="61"/>
      <c r="E149" s="61"/>
      <c r="F149" s="61"/>
      <c r="G149" s="61"/>
      <c r="H149" s="86">
        <v>8.1749796502297745E-2</v>
      </c>
      <c r="I149" s="86">
        <v>7.0901853421898142E-2</v>
      </c>
      <c r="J149" s="86">
        <v>8.418728107528084E-2</v>
      </c>
      <c r="K149" s="86">
        <v>8.0494071615950125E-2</v>
      </c>
      <c r="L149" s="86">
        <v>8.0609696041931356E-2</v>
      </c>
      <c r="M149" s="86">
        <v>7.6919827893585868E-2</v>
      </c>
      <c r="N149" s="86">
        <v>7.870908077330796E-2</v>
      </c>
    </row>
    <row r="150" spans="1:15" s="40" customFormat="1" ht="10" hidden="1" outlineLevel="2">
      <c r="A150" s="99" t="s">
        <v>79</v>
      </c>
      <c r="B150" s="99"/>
      <c r="C150" s="99"/>
      <c r="D150" s="99"/>
      <c r="E150" s="99"/>
      <c r="F150" s="99"/>
      <c r="G150" s="99"/>
      <c r="H150" s="86"/>
      <c r="I150" s="86"/>
      <c r="J150" s="103">
        <v>1.0000000000000286E-4</v>
      </c>
      <c r="K150" s="103">
        <v>0</v>
      </c>
      <c r="L150" s="103">
        <v>0</v>
      </c>
      <c r="M150" s="103">
        <v>5.6000000000000077E-3</v>
      </c>
      <c r="N150" s="86"/>
    </row>
    <row r="151" spans="1:15" hidden="1" outlineLevel="2">
      <c r="A151" s="33" t="s">
        <v>85</v>
      </c>
      <c r="B151" s="62" t="s">
        <v>86</v>
      </c>
      <c r="C151" s="62"/>
      <c r="D151" s="6"/>
      <c r="E151" s="6"/>
      <c r="F151" s="6"/>
      <c r="G151" s="6"/>
      <c r="H151" s="101">
        <v>8.1749796502297745E-2</v>
      </c>
      <c r="I151" s="101">
        <v>7.0901853421898142E-2</v>
      </c>
      <c r="J151" s="82">
        <v>8.43E-2</v>
      </c>
      <c r="K151" s="82">
        <v>8.0500000000000002E-2</v>
      </c>
      <c r="L151" s="82">
        <v>8.0600000000000005E-2</v>
      </c>
      <c r="M151" s="82">
        <v>8.2500000000000004E-2</v>
      </c>
      <c r="N151" s="101">
        <v>7.870908077330796E-2</v>
      </c>
      <c r="O151" s="45"/>
    </row>
    <row r="152" spans="1:15" s="117" customFormat="1" hidden="1" outlineLevel="2">
      <c r="A152" s="111" t="s">
        <v>81</v>
      </c>
      <c r="B152" s="112"/>
      <c r="C152" s="112"/>
      <c r="D152" s="111"/>
      <c r="E152" s="111"/>
      <c r="F152" s="111"/>
      <c r="G152" s="111"/>
      <c r="H152" s="91">
        <v>0.33</v>
      </c>
      <c r="I152" s="91">
        <v>0.33</v>
      </c>
      <c r="J152" s="91">
        <v>0.33</v>
      </c>
      <c r="K152" s="91">
        <v>0.33</v>
      </c>
      <c r="L152" s="91">
        <v>0.33</v>
      </c>
    </row>
    <row r="153" spans="1:15" s="47" customFormat="1" hidden="1" outlineLevel="2">
      <c r="A153" s="118"/>
      <c r="B153" s="56"/>
      <c r="C153" s="56"/>
      <c r="D153" s="33"/>
      <c r="E153" s="33"/>
      <c r="F153" s="33"/>
      <c r="G153" s="33"/>
      <c r="H153" s="115"/>
      <c r="I153" s="115"/>
      <c r="J153" s="115"/>
      <c r="K153" s="115"/>
      <c r="L153" s="115"/>
      <c r="M153" s="115"/>
      <c r="N153" s="115"/>
      <c r="O153" s="49"/>
    </row>
    <row r="154" spans="1:15" s="124" customFormat="1" hidden="1" outlineLevel="2">
      <c r="A154" s="119" t="s">
        <v>87</v>
      </c>
      <c r="B154" s="120" t="s">
        <v>88</v>
      </c>
      <c r="C154" s="120"/>
      <c r="D154" s="121"/>
      <c r="E154" s="121"/>
      <c r="F154" s="121"/>
      <c r="G154" s="121"/>
      <c r="H154" s="122">
        <v>-3.2825000000000003E-3</v>
      </c>
      <c r="I154" s="122">
        <v>-3.7550000000000001E-3</v>
      </c>
      <c r="J154" s="122">
        <v>-6.7500000000000004E-4</v>
      </c>
      <c r="K154" s="122">
        <v>5.7625000000000003E-3</v>
      </c>
      <c r="L154" s="123">
        <v>5.2224999999999997E-3</v>
      </c>
      <c r="M154" s="123">
        <v>2.8950000000000004E-3</v>
      </c>
      <c r="N154" s="123">
        <v>6.9100000000000003E-3</v>
      </c>
      <c r="O154" s="119"/>
    </row>
    <row r="155" spans="1:15" s="40" customFormat="1" ht="10" hidden="1" outlineLevel="2">
      <c r="A155" s="99" t="str">
        <f>A157&amp;" (berekend)"</f>
        <v>LT rendement obligaties (berekend)</v>
      </c>
      <c r="B155" s="61" t="s">
        <v>78</v>
      </c>
      <c r="C155" s="61"/>
      <c r="D155" s="61"/>
      <c r="E155" s="61"/>
      <c r="F155" s="61"/>
      <c r="G155" s="61"/>
      <c r="H155" s="86">
        <v>2.9441663176158706E-2</v>
      </c>
      <c r="I155" s="86">
        <v>3.16272646464133E-2</v>
      </c>
      <c r="J155" s="86">
        <v>3.3453426984819901E-2</v>
      </c>
      <c r="K155" s="86">
        <v>3.5435664386960442E-2</v>
      </c>
      <c r="L155" s="86">
        <v>3.7760557447230614E-2</v>
      </c>
      <c r="M155" s="86">
        <v>1.9744733174773321E-2</v>
      </c>
      <c r="N155" s="86">
        <v>2.0115365330670043E-2</v>
      </c>
    </row>
    <row r="156" spans="1:15" s="40" customFormat="1" ht="10" hidden="1" outlineLevel="2">
      <c r="A156" s="99" t="s">
        <v>79</v>
      </c>
      <c r="B156" s="99"/>
      <c r="C156" s="99"/>
      <c r="D156" s="99"/>
      <c r="E156" s="99"/>
      <c r="F156" s="99"/>
      <c r="G156" s="99"/>
      <c r="H156" s="103">
        <v>4.1663176158706489E-5</v>
      </c>
      <c r="I156" s="103">
        <v>2.7264646413296956E-5</v>
      </c>
      <c r="J156" s="103">
        <v>0</v>
      </c>
      <c r="K156" s="103">
        <v>9.9999999999995925E-5</v>
      </c>
      <c r="L156" s="103">
        <v>0</v>
      </c>
      <c r="M156" s="103">
        <v>2.0300000000000002E-2</v>
      </c>
      <c r="N156" s="86"/>
    </row>
    <row r="157" spans="1:15" hidden="1" outlineLevel="2">
      <c r="A157" s="33" t="s">
        <v>89</v>
      </c>
      <c r="B157" s="62" t="s">
        <v>86</v>
      </c>
      <c r="C157" s="62"/>
      <c r="D157" s="6"/>
      <c r="E157" s="6"/>
      <c r="F157" s="6"/>
      <c r="G157" s="6"/>
      <c r="H157" s="101">
        <v>2.9441663176158706E-2</v>
      </c>
      <c r="I157" s="101">
        <v>3.16272646464133E-2</v>
      </c>
      <c r="J157" s="82">
        <v>3.3500000000000002E-2</v>
      </c>
      <c r="K157" s="82">
        <v>3.5499999999999997E-2</v>
      </c>
      <c r="L157" s="82">
        <v>3.78E-2</v>
      </c>
      <c r="M157" s="82">
        <v>0.04</v>
      </c>
      <c r="N157" s="101">
        <v>2.0115365330670043E-2</v>
      </c>
      <c r="O157" s="45"/>
    </row>
    <row r="158" spans="1:15" s="111" customFormat="1" hidden="1" outlineLevel="2">
      <c r="A158" s="111" t="s">
        <v>81</v>
      </c>
      <c r="B158" s="112"/>
      <c r="C158" s="112"/>
      <c r="H158" s="91">
        <v>0.14000000000000001</v>
      </c>
      <c r="I158" s="91">
        <v>0.14000000000000001</v>
      </c>
      <c r="J158" s="91">
        <v>0.14000000000000001</v>
      </c>
      <c r="K158" s="91">
        <v>0.14000000000000001</v>
      </c>
      <c r="L158" s="91">
        <v>0.14000000000000001</v>
      </c>
    </row>
    <row r="159" spans="1:15" s="47" customFormat="1" hidden="1" outlineLevel="2">
      <c r="A159" s="118"/>
      <c r="B159" s="56"/>
      <c r="C159" s="56"/>
      <c r="D159" s="33"/>
      <c r="E159" s="33"/>
      <c r="F159" s="33"/>
      <c r="G159" s="33"/>
      <c r="H159" s="115"/>
      <c r="I159" s="115"/>
      <c r="J159" s="115"/>
      <c r="K159" s="115"/>
      <c r="L159" s="115"/>
      <c r="M159" s="115"/>
      <c r="N159" s="115"/>
      <c r="O159" s="49"/>
    </row>
    <row r="160" spans="1:15" s="101" customFormat="1" hidden="1" outlineLevel="2">
      <c r="A160" s="100" t="str">
        <f>A162&amp;" (berekend)"</f>
        <v>Voordeel sparen/bel. Klasse II (berekend)</v>
      </c>
      <c r="B160" s="99" t="s">
        <v>90</v>
      </c>
      <c r="C160" s="99"/>
      <c r="D160" s="99"/>
      <c r="E160" s="99"/>
      <c r="F160" s="99"/>
      <c r="G160" s="99"/>
      <c r="H160" s="101">
        <v>5.6917832966924771E-2</v>
      </c>
      <c r="I160" s="101">
        <v>5.2893821692684577E-2</v>
      </c>
      <c r="J160" s="101">
        <v>5.5987999999999996E-2</v>
      </c>
      <c r="K160" s="101">
        <v>5.3848000000000007E-2</v>
      </c>
      <c r="L160" s="101">
        <v>5.3885000000000002E-2</v>
      </c>
      <c r="M160" s="101">
        <v>0</v>
      </c>
    </row>
    <row r="161" spans="1:15" s="104" customFormat="1" ht="10" hidden="1" outlineLevel="2">
      <c r="A161" s="103" t="s">
        <v>58</v>
      </c>
      <c r="B161" s="102"/>
      <c r="C161" s="102"/>
      <c r="D161" s="102"/>
      <c r="E161" s="102"/>
      <c r="F161" s="102"/>
      <c r="G161" s="102"/>
      <c r="H161" s="103">
        <v>0</v>
      </c>
      <c r="I161" s="103">
        <v>3.9999999999999758E-4</v>
      </c>
      <c r="J161" s="103">
        <v>-1.0000000000000286E-4</v>
      </c>
      <c r="K161" s="103">
        <v>0</v>
      </c>
      <c r="L161" s="103">
        <v>0</v>
      </c>
    </row>
    <row r="162" spans="1:15" s="47" customFormat="1" hidden="1" outlineLevel="2">
      <c r="A162" s="33" t="s">
        <v>25</v>
      </c>
      <c r="B162" s="72" t="s">
        <v>73</v>
      </c>
      <c r="C162" s="72"/>
      <c r="D162" s="67"/>
      <c r="E162" s="67"/>
      <c r="F162" s="67"/>
      <c r="G162" s="82">
        <v>5.5300000000000002E-2</v>
      </c>
      <c r="H162" s="82">
        <v>5.6899999999999999E-2</v>
      </c>
      <c r="I162" s="136">
        <v>5.28E-2</v>
      </c>
      <c r="J162" s="82">
        <v>5.5899999999999998E-2</v>
      </c>
      <c r="K162" s="82">
        <v>5.3800000000000001E-2</v>
      </c>
      <c r="L162" s="82">
        <v>5.3900000000000003E-2</v>
      </c>
      <c r="M162" s="93"/>
    </row>
    <row r="163" spans="1:15" s="47" customFormat="1" hidden="1" outlineLevel="1">
      <c r="A163" s="59"/>
      <c r="B163" s="56"/>
      <c r="C163" s="56"/>
      <c r="D163" s="33"/>
      <c r="E163" s="33"/>
      <c r="F163" s="33"/>
      <c r="G163" s="33"/>
      <c r="H163" s="115"/>
      <c r="I163" s="115"/>
      <c r="J163" s="115"/>
      <c r="K163" s="115"/>
      <c r="L163" s="115"/>
      <c r="M163" s="115"/>
      <c r="N163" s="115"/>
      <c r="O163" s="49"/>
    </row>
    <row r="164" spans="1:15" s="95" customFormat="1" ht="10.5" hidden="1" outlineLevel="1">
      <c r="A164" s="95" t="s">
        <v>91</v>
      </c>
      <c r="D164" s="96"/>
      <c r="E164" s="96"/>
      <c r="F164" s="96"/>
      <c r="G164" s="96"/>
      <c r="H164" s="96"/>
      <c r="I164" s="96"/>
      <c r="J164" s="96"/>
      <c r="K164" s="96"/>
      <c r="L164" s="96"/>
    </row>
    <row r="165" spans="1:15" s="47" customFormat="1" hidden="1" outlineLevel="2">
      <c r="A165" s="33" t="s">
        <v>92</v>
      </c>
      <c r="B165" s="72" t="s">
        <v>73</v>
      </c>
      <c r="C165" s="72"/>
      <c r="D165" s="67"/>
      <c r="E165" s="67"/>
      <c r="F165" s="67"/>
      <c r="G165" s="91">
        <v>0.33</v>
      </c>
      <c r="H165" s="91">
        <v>0.33</v>
      </c>
      <c r="I165" s="91">
        <v>0.33</v>
      </c>
      <c r="J165" s="91">
        <v>0.33</v>
      </c>
      <c r="K165" s="91">
        <v>0.33</v>
      </c>
      <c r="L165" s="91">
        <v>0.33</v>
      </c>
      <c r="M165" s="93"/>
    </row>
    <row r="166" spans="1:15" s="47" customFormat="1" hidden="1" outlineLevel="2">
      <c r="A166" s="33" t="s">
        <v>93</v>
      </c>
      <c r="B166" s="72" t="s">
        <v>73</v>
      </c>
      <c r="C166" s="72"/>
      <c r="D166" s="67"/>
      <c r="E166" s="67"/>
      <c r="F166" s="67"/>
      <c r="G166" s="91">
        <v>0.79</v>
      </c>
      <c r="H166" s="91">
        <v>0.79</v>
      </c>
      <c r="I166" s="91">
        <v>0.79</v>
      </c>
      <c r="J166" s="91">
        <v>0.79</v>
      </c>
      <c r="K166" s="91">
        <v>0.79</v>
      </c>
      <c r="L166" s="91">
        <v>0.79</v>
      </c>
    </row>
    <row r="167" spans="1:15" s="47" customFormat="1" hidden="1" outlineLevel="2">
      <c r="A167" s="33" t="s">
        <v>94</v>
      </c>
      <c r="B167" s="72" t="s">
        <v>73</v>
      </c>
      <c r="C167" s="72"/>
      <c r="D167" s="67"/>
      <c r="E167" s="67"/>
      <c r="F167" s="67"/>
      <c r="G167" s="91">
        <v>1</v>
      </c>
      <c r="H167" s="91">
        <v>1</v>
      </c>
      <c r="I167" s="91">
        <v>1</v>
      </c>
      <c r="J167" s="91">
        <v>1</v>
      </c>
      <c r="K167" s="91">
        <v>1</v>
      </c>
      <c r="L167" s="91">
        <v>1</v>
      </c>
    </row>
    <row r="168" spans="1:15" s="72" customFormat="1" ht="10" hidden="1" outlineLevel="2">
      <c r="A168" s="69" t="str">
        <f>A170&amp;" (vlgs. tabelcorrectiefactor)"</f>
        <v>IB3-Grens2 (vlgs. tabelcorrectiefactor)</v>
      </c>
      <c r="B168" s="69" t="s">
        <v>44</v>
      </c>
      <c r="C168" s="125"/>
      <c r="D168" s="125"/>
      <c r="E168" s="125"/>
      <c r="F168" s="125"/>
      <c r="G168" s="69">
        <v>50650</v>
      </c>
      <c r="H168" s="69">
        <v>73962</v>
      </c>
      <c r="I168" s="69">
        <v>72797</v>
      </c>
      <c r="J168" s="69">
        <v>71650</v>
      </c>
      <c r="K168" s="69">
        <v>75600</v>
      </c>
      <c r="L168" s="69">
        <v>0</v>
      </c>
      <c r="M168" s="78"/>
      <c r="N168" s="78"/>
    </row>
    <row r="169" spans="1:15" s="79" customFormat="1" ht="10" hidden="1" outlineLevel="2">
      <c r="A169" s="68" t="s">
        <v>58</v>
      </c>
      <c r="B169" s="126"/>
      <c r="C169" s="126"/>
      <c r="D169" s="126"/>
      <c r="E169" s="126"/>
      <c r="F169" s="126"/>
      <c r="G169" s="126"/>
      <c r="H169" s="68">
        <v>0</v>
      </c>
      <c r="I169" s="68"/>
      <c r="J169" s="68">
        <v>0</v>
      </c>
      <c r="K169" s="68">
        <v>-4800</v>
      </c>
      <c r="L169" s="68">
        <v>75000</v>
      </c>
      <c r="M169" s="71"/>
      <c r="N169" s="71"/>
    </row>
    <row r="170" spans="1:15" s="76" customFormat="1" hidden="1" outlineLevel="2">
      <c r="A170" s="129" t="s">
        <v>30</v>
      </c>
      <c r="B170" s="72" t="s">
        <v>73</v>
      </c>
      <c r="C170" s="62" t="str">
        <f>$A$11</f>
        <v>Tabelcorrectiefactor</v>
      </c>
      <c r="D170" s="67"/>
      <c r="E170" s="67"/>
      <c r="F170" s="67"/>
      <c r="G170" s="74">
        <v>50650</v>
      </c>
      <c r="H170" s="74">
        <v>50000</v>
      </c>
      <c r="I170" s="74">
        <v>72797</v>
      </c>
      <c r="J170" s="74">
        <v>71650</v>
      </c>
      <c r="K170" s="74">
        <v>70800</v>
      </c>
      <c r="L170" s="74">
        <v>75000</v>
      </c>
    </row>
    <row r="171" spans="1:15" s="72" customFormat="1" ht="10" hidden="1" outlineLevel="2">
      <c r="A171" s="69" t="str">
        <f>A173&amp;" (vlgs. tabelcorrectiefactor)"</f>
        <v>IB3-Grens3 (vlgs. tabelcorrectiefactor)</v>
      </c>
      <c r="B171" s="69" t="s">
        <v>44</v>
      </c>
      <c r="C171" s="125"/>
      <c r="D171" s="125"/>
      <c r="E171" s="125"/>
      <c r="F171" s="125"/>
      <c r="G171" s="69">
        <v>962350</v>
      </c>
      <c r="H171" s="69">
        <v>1021662</v>
      </c>
      <c r="I171" s="69">
        <v>1005572</v>
      </c>
      <c r="J171" s="69">
        <v>989736</v>
      </c>
      <c r="K171" s="69">
        <v>982800</v>
      </c>
      <c r="L171" s="69">
        <v>0</v>
      </c>
      <c r="M171" s="78"/>
      <c r="N171" s="78"/>
    </row>
    <row r="172" spans="1:15" s="79" customFormat="1" ht="10" hidden="1" outlineLevel="2">
      <c r="A172" s="68" t="s">
        <v>58</v>
      </c>
      <c r="B172" s="126"/>
      <c r="C172" s="126"/>
      <c r="D172" s="126"/>
      <c r="E172" s="126"/>
      <c r="F172" s="126"/>
      <c r="G172" s="126"/>
      <c r="H172" s="68">
        <v>0</v>
      </c>
      <c r="I172" s="68">
        <v>0</v>
      </c>
      <c r="J172" s="68">
        <v>0</v>
      </c>
      <c r="K172" s="68">
        <v>-4800</v>
      </c>
      <c r="L172" s="68">
        <v>975000</v>
      </c>
      <c r="M172" s="71"/>
      <c r="N172" s="71"/>
    </row>
    <row r="173" spans="1:15" s="76" customFormat="1" hidden="1" outlineLevel="2">
      <c r="A173" s="67" t="s">
        <v>33</v>
      </c>
      <c r="B173" s="72" t="s">
        <v>73</v>
      </c>
      <c r="C173" s="62" t="str">
        <f>$A$11</f>
        <v>Tabelcorrectiefactor</v>
      </c>
      <c r="D173" s="67"/>
      <c r="E173" s="67"/>
      <c r="F173" s="67"/>
      <c r="G173" s="74">
        <v>962350</v>
      </c>
      <c r="H173" s="74">
        <v>950000</v>
      </c>
      <c r="I173" s="74">
        <v>1005572</v>
      </c>
      <c r="J173" s="74">
        <v>989736</v>
      </c>
      <c r="K173" s="74">
        <v>978000</v>
      </c>
      <c r="L173" s="74">
        <v>975000</v>
      </c>
    </row>
    <row r="174" spans="1:15" s="47" customFormat="1" hidden="1" outlineLevel="2">
      <c r="A174" s="33" t="s">
        <v>27</v>
      </c>
      <c r="B174" s="48"/>
      <c r="C174" s="48"/>
      <c r="D174" s="49"/>
      <c r="E174" s="49"/>
      <c r="F174" s="49"/>
      <c r="G174" s="127">
        <f t="shared" ref="G174:I176" si="5">(1-G165)*G$137+G165*G$162</f>
        <v>1.8182E-2</v>
      </c>
      <c r="H174" s="127">
        <f t="shared" si="5"/>
        <v>1.8978000000000002E-2</v>
      </c>
      <c r="I174" s="127">
        <f t="shared" si="5"/>
        <v>1.7893000000000003E-2</v>
      </c>
      <c r="J174" s="127">
        <f t="shared" ref="J174:L174" si="6">(1-J165)*J$137+J165*J$162</f>
        <v>1.9318000000000002E-2</v>
      </c>
      <c r="K174" s="127">
        <f t="shared" si="6"/>
        <v>2.0166000000000003E-2</v>
      </c>
      <c r="L174" s="127">
        <f t="shared" si="6"/>
        <v>2.8707999999999997E-2</v>
      </c>
      <c r="M174" s="127"/>
    </row>
    <row r="175" spans="1:15" s="47" customFormat="1" hidden="1" outlineLevel="2">
      <c r="A175" s="33" t="s">
        <v>31</v>
      </c>
      <c r="B175" s="48"/>
      <c r="C175" s="48"/>
      <c r="D175" s="49"/>
      <c r="E175" s="49"/>
      <c r="F175" s="49"/>
      <c r="G175" s="127">
        <f t="shared" si="5"/>
        <v>4.3666000000000003E-2</v>
      </c>
      <c r="H175" s="127">
        <f t="shared" si="5"/>
        <v>4.5014000000000005E-2</v>
      </c>
      <c r="I175" s="127">
        <f t="shared" si="5"/>
        <v>4.1859E-2</v>
      </c>
      <c r="J175" s="127">
        <f t="shared" ref="J175:L175" si="7">(1-J166)*J$137+J166*J$162</f>
        <v>4.4434000000000001E-2</v>
      </c>
      <c r="K175" s="127">
        <f t="shared" si="7"/>
        <v>4.3258000000000005E-2</v>
      </c>
      <c r="L175" s="127">
        <f t="shared" si="7"/>
        <v>4.6004000000000003E-2</v>
      </c>
    </row>
    <row r="176" spans="1:15" s="47" customFormat="1" hidden="1" outlineLevel="2">
      <c r="A176" s="33" t="s">
        <v>34</v>
      </c>
      <c r="B176" s="72" t="s">
        <v>73</v>
      </c>
      <c r="C176" s="72"/>
      <c r="D176" s="67"/>
      <c r="E176" s="67"/>
      <c r="F176" s="67"/>
      <c r="G176" s="127">
        <f t="shared" si="5"/>
        <v>5.5300000000000002E-2</v>
      </c>
      <c r="H176" s="127">
        <f t="shared" si="5"/>
        <v>5.6899999999999999E-2</v>
      </c>
      <c r="I176" s="127">
        <f t="shared" si="5"/>
        <v>5.28E-2</v>
      </c>
      <c r="J176" s="127">
        <f t="shared" ref="J176:L176" si="8">(1-J167)*J$137+J167*J$162</f>
        <v>5.5899999999999998E-2</v>
      </c>
      <c r="K176" s="127">
        <f t="shared" si="8"/>
        <v>5.3800000000000001E-2</v>
      </c>
      <c r="L176" s="127">
        <f t="shared" si="8"/>
        <v>5.3900000000000003E-2</v>
      </c>
      <c r="M176" s="82">
        <v>0.04</v>
      </c>
      <c r="N176" s="82">
        <v>0.04</v>
      </c>
    </row>
    <row r="177" spans="1:14">
      <c r="B177"/>
      <c r="C177"/>
      <c r="D177"/>
      <c r="E177"/>
      <c r="F177"/>
      <c r="G177"/>
      <c r="H177"/>
      <c r="I177"/>
      <c r="J177"/>
      <c r="K177"/>
      <c r="L177"/>
    </row>
    <row r="178" spans="1:14" ht="13" collapsed="1">
      <c r="A178" s="87" t="s">
        <v>95</v>
      </c>
      <c r="B178"/>
      <c r="C178"/>
      <c r="D178"/>
      <c r="E178"/>
      <c r="F178"/>
      <c r="G178"/>
      <c r="H178"/>
      <c r="I178"/>
      <c r="J178"/>
      <c r="K178"/>
      <c r="L178"/>
    </row>
    <row r="179" spans="1:14" hidden="1" outlineLevel="1">
      <c r="A179" s="128" t="s">
        <v>96</v>
      </c>
      <c r="B179"/>
      <c r="C179"/>
      <c r="D179"/>
      <c r="E179"/>
      <c r="F179"/>
      <c r="G179" s="42">
        <v>1E-4</v>
      </c>
      <c r="H179" s="42">
        <v>1E-4</v>
      </c>
      <c r="I179" s="42">
        <v>4.0000000000000002E-4</v>
      </c>
      <c r="J179" s="42">
        <v>8.0000000000000004E-4</v>
      </c>
      <c r="K179" s="42">
        <v>1.1999999999999999E-3</v>
      </c>
      <c r="L179" s="42">
        <v>2.5000000000000001E-3</v>
      </c>
    </row>
    <row r="180" spans="1:14" hidden="1" outlineLevel="1">
      <c r="A180" s="128" t="s">
        <v>97</v>
      </c>
      <c r="B180"/>
      <c r="C180"/>
      <c r="D180"/>
      <c r="E180"/>
      <c r="F180"/>
      <c r="G180" s="42">
        <v>5.5300000000000002E-2</v>
      </c>
      <c r="H180" s="42">
        <v>5.6899999999999999E-2</v>
      </c>
      <c r="I180" s="42">
        <v>5.28E-2</v>
      </c>
      <c r="J180" s="42">
        <v>5.5899999999999998E-2</v>
      </c>
      <c r="K180" s="42">
        <v>5.3800000000000001E-2</v>
      </c>
      <c r="L180" s="42">
        <v>5.3900000000000003E-2</v>
      </c>
    </row>
    <row r="181" spans="1:14" hidden="1" outlineLevel="1">
      <c r="A181" s="128" t="s">
        <v>9</v>
      </c>
      <c r="B181"/>
      <c r="C181"/>
      <c r="D181"/>
      <c r="E181"/>
      <c r="F181"/>
      <c r="G181" s="42">
        <v>2.46E-2</v>
      </c>
      <c r="H181" s="42">
        <v>2.46E-2</v>
      </c>
      <c r="I181" s="42">
        <v>2.7400000000000001E-2</v>
      </c>
      <c r="J181" s="42">
        <v>0.03</v>
      </c>
      <c r="K181" s="42">
        <v>3.2000000000000001E-2</v>
      </c>
      <c r="L181" s="42">
        <v>3.4299999999999997E-2</v>
      </c>
    </row>
    <row r="182" spans="1:14">
      <c r="B182"/>
      <c r="C182"/>
      <c r="D182"/>
      <c r="E182"/>
      <c r="F182"/>
      <c r="G182"/>
      <c r="H182"/>
      <c r="I182"/>
      <c r="J182"/>
      <c r="K182"/>
      <c r="L182"/>
    </row>
    <row r="183" spans="1:14" s="47" customFormat="1" ht="13" collapsed="1">
      <c r="A183" s="94" t="s">
        <v>98</v>
      </c>
      <c r="B183" s="48"/>
      <c r="C183" s="48"/>
      <c r="D183" s="49"/>
      <c r="E183" s="49"/>
      <c r="F183" s="49"/>
      <c r="G183" s="49"/>
      <c r="H183" s="33"/>
      <c r="I183" s="33"/>
      <c r="J183" s="50"/>
      <c r="K183" s="50"/>
      <c r="L183" s="50"/>
    </row>
    <row r="184" spans="1:14" s="47" customFormat="1" hidden="1" outlineLevel="1">
      <c r="A184" s="49" t="s">
        <v>99</v>
      </c>
      <c r="B184" s="48"/>
      <c r="C184" s="48"/>
      <c r="D184" s="49"/>
      <c r="E184" s="49"/>
      <c r="F184" s="49"/>
      <c r="G184" s="49" t="b">
        <v>0</v>
      </c>
      <c r="H184" s="49" t="b">
        <v>0</v>
      </c>
      <c r="I184" s="49" t="b">
        <v>0</v>
      </c>
      <c r="J184" s="47" t="b">
        <v>0</v>
      </c>
      <c r="K184" s="47" t="b">
        <v>0</v>
      </c>
      <c r="L184" s="47" t="b">
        <v>0</v>
      </c>
      <c r="M184" s="47" t="b">
        <v>0</v>
      </c>
      <c r="N184" s="47" t="b">
        <v>0</v>
      </c>
    </row>
    <row r="185" spans="1:14" s="47" customFormat="1" hidden="1" outlineLevel="1">
      <c r="A185" s="49"/>
      <c r="B185" s="48"/>
      <c r="C185" s="48"/>
      <c r="D185" s="49"/>
      <c r="E185" s="49"/>
      <c r="F185" s="49"/>
      <c r="G185" s="49"/>
      <c r="H185" s="33"/>
      <c r="I185" s="33"/>
      <c r="J185" s="50"/>
      <c r="K185" s="50"/>
      <c r="L185" s="50"/>
    </row>
    <row r="186" spans="1:14" s="72" customFormat="1" ht="10" hidden="1" outlineLevel="1">
      <c r="A186" s="69" t="str">
        <f>A188&amp;" (vlgs. tabelcorrectiefactor)"</f>
        <v>Niet aftrekbare schulden per persoon (vlgs. tabelcorrectiefactor)</v>
      </c>
      <c r="B186" s="69" t="s">
        <v>44</v>
      </c>
      <c r="C186" s="125"/>
      <c r="D186" s="125"/>
      <c r="E186" s="125"/>
      <c r="F186" s="125"/>
      <c r="G186" s="125"/>
      <c r="H186" s="69">
        <v>3149.6</v>
      </c>
      <c r="I186" s="69">
        <v>3149.6</v>
      </c>
      <c r="J186" s="69">
        <v>3036</v>
      </c>
      <c r="K186" s="69">
        <v>3024</v>
      </c>
      <c r="L186" s="69">
        <v>3008.9999999999995</v>
      </c>
      <c r="M186" s="69">
        <v>3014.9999999999995</v>
      </c>
      <c r="N186" s="69">
        <v>2926.1</v>
      </c>
    </row>
    <row r="187" spans="1:14" s="79" customFormat="1" ht="10" hidden="1" outlineLevel="1">
      <c r="A187" s="68" t="s">
        <v>58</v>
      </c>
      <c r="B187" s="126"/>
      <c r="C187" s="126"/>
      <c r="D187" s="126"/>
      <c r="E187" s="126"/>
      <c r="F187" s="126"/>
      <c r="G187" s="126"/>
      <c r="H187" s="68">
        <v>50.400000000000091</v>
      </c>
      <c r="I187" s="68">
        <v>-49.599999999999909</v>
      </c>
      <c r="J187" s="68">
        <v>64</v>
      </c>
      <c r="K187" s="68">
        <v>-24</v>
      </c>
      <c r="L187" s="68">
        <v>-8.9999999999995453</v>
      </c>
      <c r="M187" s="68">
        <v>-14.999999999999545</v>
      </c>
      <c r="N187" s="68">
        <v>73.900000000000091</v>
      </c>
    </row>
    <row r="188" spans="1:14" hidden="1" outlineLevel="1">
      <c r="A188" s="76" t="s">
        <v>100</v>
      </c>
      <c r="B188" s="62" t="s">
        <v>101</v>
      </c>
      <c r="C188" s="62" t="str">
        <f>$A$11</f>
        <v>Tabelcorrectiefactor</v>
      </c>
      <c r="D188" s="6"/>
      <c r="E188" s="6"/>
      <c r="F188" s="6"/>
      <c r="G188" s="74">
        <v>3200</v>
      </c>
      <c r="H188" s="74">
        <v>3200</v>
      </c>
      <c r="I188" s="74">
        <v>3100</v>
      </c>
      <c r="J188" s="74">
        <v>3100</v>
      </c>
      <c r="K188" s="74">
        <v>3000</v>
      </c>
      <c r="L188" s="74">
        <v>3000</v>
      </c>
      <c r="M188" s="75">
        <v>3000</v>
      </c>
      <c r="N188" s="75">
        <v>3000</v>
      </c>
    </row>
    <row r="189" spans="1:14" s="47" customFormat="1" hidden="1" outlineLevel="1">
      <c r="A189" s="49"/>
      <c r="B189" s="48"/>
      <c r="C189" s="48"/>
      <c r="D189" s="49"/>
      <c r="E189" s="49"/>
      <c r="F189" s="49"/>
      <c r="G189" s="49"/>
      <c r="H189" s="33"/>
      <c r="I189" s="33"/>
      <c r="J189" s="50"/>
      <c r="K189" s="50"/>
      <c r="L189" s="50"/>
    </row>
    <row r="190" spans="1:14" s="72" customFormat="1" ht="10" hidden="1" outlineLevel="1">
      <c r="A190" s="69" t="str">
        <f>A192&amp;" (vlgs. tabelcorrectiefactor)"</f>
        <v>Heffingsvrij vermogen (vlgs. tabelcorrectiefactor)</v>
      </c>
      <c r="B190" s="69" t="s">
        <v>44</v>
      </c>
      <c r="C190" s="125"/>
      <c r="D190" s="125"/>
      <c r="E190" s="125"/>
      <c r="F190" s="125"/>
      <c r="G190" s="69">
        <v>50650</v>
      </c>
      <c r="H190" s="69">
        <v>31340</v>
      </c>
      <c r="I190" s="69">
        <v>30846</v>
      </c>
      <c r="J190" s="69">
        <v>30360</v>
      </c>
      <c r="K190" s="69">
        <v>25200</v>
      </c>
      <c r="L190" s="69">
        <v>24511</v>
      </c>
      <c r="M190" s="69">
        <v>21437</v>
      </c>
      <c r="N190" s="69">
        <v>21330</v>
      </c>
    </row>
    <row r="191" spans="1:14" s="79" customFormat="1" ht="10" hidden="1" outlineLevel="1">
      <c r="A191" s="68" t="s">
        <v>58</v>
      </c>
      <c r="B191" s="126"/>
      <c r="C191" s="126"/>
      <c r="D191" s="126"/>
      <c r="E191" s="126"/>
      <c r="F191" s="126"/>
      <c r="G191" s="68">
        <v>0</v>
      </c>
      <c r="H191" s="68">
        <v>18660</v>
      </c>
      <c r="I191" s="68">
        <v>0</v>
      </c>
      <c r="J191" s="68">
        <v>0</v>
      </c>
      <c r="K191" s="68">
        <v>4800</v>
      </c>
      <c r="L191" s="68">
        <v>489</v>
      </c>
      <c r="M191" s="68">
        <v>3000</v>
      </c>
      <c r="N191" s="68">
        <v>0</v>
      </c>
    </row>
    <row r="192" spans="1:14" s="76" customFormat="1" hidden="1" outlineLevel="1">
      <c r="A192" s="129" t="s">
        <v>21</v>
      </c>
      <c r="B192" s="62" t="s">
        <v>102</v>
      </c>
      <c r="C192" s="62" t="str">
        <f>$A$11</f>
        <v>Tabelcorrectiefactor</v>
      </c>
      <c r="D192" s="6"/>
      <c r="E192" s="6"/>
      <c r="F192" s="81">
        <v>57000</v>
      </c>
      <c r="G192" s="74">
        <v>50650</v>
      </c>
      <c r="H192" s="74">
        <v>50000</v>
      </c>
      <c r="I192" s="74">
        <v>30846</v>
      </c>
      <c r="J192" s="74">
        <v>30360</v>
      </c>
      <c r="K192" s="74">
        <v>30000</v>
      </c>
      <c r="L192" s="74">
        <v>25000</v>
      </c>
      <c r="M192" s="75">
        <v>24437</v>
      </c>
      <c r="N192" s="75">
        <v>21330</v>
      </c>
    </row>
    <row r="193" spans="1:15" hidden="1" outlineLevel="1">
      <c r="A193" s="76" t="s">
        <v>103</v>
      </c>
      <c r="B193" s="72" t="s">
        <v>104</v>
      </c>
      <c r="C193" s="62"/>
      <c r="D193" s="67"/>
      <c r="E193" s="67"/>
      <c r="F193" s="67"/>
      <c r="G193" s="67"/>
      <c r="H193" s="129"/>
      <c r="I193" s="129"/>
      <c r="J193" s="130"/>
      <c r="K193" s="130"/>
      <c r="L193" s="130"/>
      <c r="M193" s="130"/>
      <c r="N193" s="130"/>
    </row>
    <row r="194" spans="1:15" s="47" customFormat="1" hidden="1" outlineLevel="1">
      <c r="A194" s="59"/>
      <c r="B194" s="56"/>
      <c r="C194" s="56"/>
      <c r="D194" s="33"/>
      <c r="E194" s="33"/>
      <c r="F194" s="33"/>
      <c r="G194" s="33"/>
      <c r="H194" s="115"/>
      <c r="I194" s="115"/>
      <c r="J194" s="115"/>
      <c r="K194" s="115"/>
      <c r="L194" s="115"/>
      <c r="M194" s="115"/>
      <c r="N194" s="115"/>
      <c r="O194" s="49"/>
    </row>
    <row r="195" spans="1:15" s="72" customFormat="1" ht="10" hidden="1" outlineLevel="1">
      <c r="A195" s="69" t="str">
        <f>A197&amp;" (vlgs. tabelcorrectiefactor)"</f>
        <v>Vrijstelling maatschappelijke beleggingen (vlgs. tabelcorrectiefactor)</v>
      </c>
      <c r="B195" s="69" t="s">
        <v>44</v>
      </c>
      <c r="C195" s="125"/>
      <c r="D195" s="125"/>
      <c r="E195" s="125"/>
      <c r="F195" s="125"/>
      <c r="G195" s="69">
        <v>61215</v>
      </c>
      <c r="H195" s="69">
        <v>60429</v>
      </c>
      <c r="I195" s="69">
        <v>59477</v>
      </c>
      <c r="J195" s="69">
        <v>58540</v>
      </c>
      <c r="K195" s="69">
        <v>57845</v>
      </c>
      <c r="L195" s="69">
        <v>57385</v>
      </c>
      <c r="M195" s="69">
        <v>57213</v>
      </c>
      <c r="N195" s="69">
        <v>56928</v>
      </c>
    </row>
    <row r="196" spans="1:15" s="79" customFormat="1" ht="10" hidden="1" outlineLevel="1">
      <c r="A196" s="68" t="s">
        <v>58</v>
      </c>
      <c r="B196" s="126"/>
      <c r="C196" s="126"/>
      <c r="D196" s="126"/>
      <c r="E196" s="126"/>
      <c r="F196" s="126"/>
      <c r="G196" s="68">
        <v>0</v>
      </c>
      <c r="H196" s="68">
        <v>0</v>
      </c>
      <c r="I196" s="68">
        <v>0</v>
      </c>
      <c r="J196" s="68">
        <v>0</v>
      </c>
      <c r="K196" s="68">
        <v>0</v>
      </c>
      <c r="L196" s="68">
        <v>0</v>
      </c>
      <c r="M196" s="68">
        <v>0</v>
      </c>
      <c r="N196" s="68">
        <v>0</v>
      </c>
    </row>
    <row r="197" spans="1:15" hidden="1" outlineLevel="1">
      <c r="A197" s="129" t="s">
        <v>105</v>
      </c>
      <c r="B197" s="61" t="s">
        <v>106</v>
      </c>
      <c r="C197" s="62" t="str">
        <f>$A$11</f>
        <v>Tabelcorrectiefactor</v>
      </c>
      <c r="D197" s="61"/>
      <c r="E197" s="61"/>
      <c r="F197" s="61"/>
      <c r="G197" s="74">
        <v>61215</v>
      </c>
      <c r="H197" s="74">
        <v>60429</v>
      </c>
      <c r="I197" s="74">
        <v>59477</v>
      </c>
      <c r="J197" s="74">
        <v>58540</v>
      </c>
      <c r="K197" s="74">
        <v>57845</v>
      </c>
      <c r="L197" s="74">
        <v>57385</v>
      </c>
      <c r="M197" s="75">
        <v>57213</v>
      </c>
      <c r="N197" s="75">
        <v>56928</v>
      </c>
    </row>
    <row r="198" spans="1:15" s="47" customFormat="1" ht="6" hidden="1" customHeight="1" outlineLevel="1">
      <c r="B198" s="48"/>
      <c r="C198" s="48"/>
      <c r="D198" s="49"/>
      <c r="E198" s="49"/>
      <c r="F198" s="49"/>
      <c r="G198" s="49"/>
      <c r="H198" s="33"/>
      <c r="I198" s="33"/>
      <c r="J198" s="50"/>
      <c r="K198" s="50"/>
      <c r="L198" s="50"/>
      <c r="M198" s="50"/>
      <c r="N198" s="50"/>
      <c r="O198" s="49"/>
    </row>
    <row r="199" spans="1:15" s="72" customFormat="1" ht="10" hidden="1" outlineLevel="1">
      <c r="A199" s="69" t="str">
        <f>A201&amp;" (vlgs. tabelcorrectiefactor)"</f>
        <v>Vrijstelling beleggingen in durfkapitaal (vlgs. tabelcorrectiefactor)</v>
      </c>
      <c r="B199" s="125"/>
      <c r="C199" s="125"/>
      <c r="D199" s="125"/>
      <c r="E199" s="125"/>
      <c r="F199" s="125"/>
      <c r="G199" s="125"/>
      <c r="H199" s="69"/>
      <c r="I199" s="69"/>
      <c r="J199" s="69"/>
      <c r="K199" s="69"/>
      <c r="L199" s="69"/>
      <c r="M199" s="69"/>
      <c r="N199" s="69"/>
    </row>
    <row r="200" spans="1:15" s="79" customFormat="1" ht="10" hidden="1" outlineLevel="1">
      <c r="A200" s="68" t="s">
        <v>58</v>
      </c>
      <c r="B200" s="126"/>
      <c r="C200" s="126"/>
      <c r="D200" s="126"/>
      <c r="E200" s="126"/>
      <c r="F200" s="126"/>
      <c r="G200" s="126"/>
      <c r="H200" s="68"/>
      <c r="I200" s="68"/>
      <c r="J200" s="68"/>
      <c r="K200" s="68"/>
      <c r="L200" s="68"/>
      <c r="M200" s="68"/>
      <c r="N200" s="68"/>
    </row>
    <row r="201" spans="1:15" hidden="1" outlineLevel="1">
      <c r="A201" s="129" t="s">
        <v>107</v>
      </c>
      <c r="B201" s="72" t="s">
        <v>108</v>
      </c>
      <c r="C201" s="72"/>
      <c r="D201" s="67"/>
      <c r="E201" s="67"/>
      <c r="F201" s="67"/>
      <c r="G201" s="67"/>
      <c r="H201" s="129"/>
      <c r="I201" s="129"/>
      <c r="J201" s="130"/>
      <c r="K201" s="130"/>
      <c r="L201" s="130"/>
      <c r="M201" s="130"/>
      <c r="N201" s="130"/>
    </row>
    <row r="202" spans="1:15" s="47" customFormat="1" hidden="1" outlineLevel="1">
      <c r="B202" s="48"/>
      <c r="C202" s="48"/>
      <c r="D202" s="49"/>
      <c r="E202" s="49"/>
      <c r="F202" s="49"/>
      <c r="G202" s="49"/>
      <c r="H202" s="33"/>
      <c r="I202" s="33"/>
      <c r="J202" s="50"/>
      <c r="K202" s="50"/>
      <c r="L202" s="50"/>
      <c r="M202" s="50"/>
      <c r="N202" s="50"/>
      <c r="O202" s="49"/>
    </row>
    <row r="203" spans="1:15" s="72" customFormat="1" ht="10" hidden="1" outlineLevel="1">
      <c r="A203" s="69" t="str">
        <f>A205&amp;" (vlgs. tabelcorrectiefactor)"</f>
        <v>Levensverzekering (uitvaart) (vlgs. tabelcorrectiefactor)</v>
      </c>
      <c r="B203" s="69" t="s">
        <v>44</v>
      </c>
      <c r="C203" s="125"/>
      <c r="D203" s="125"/>
      <c r="E203" s="125"/>
      <c r="F203" s="125"/>
      <c r="G203" s="125"/>
      <c r="H203" s="69">
        <v>7348</v>
      </c>
      <c r="I203" s="69">
        <v>7232</v>
      </c>
      <c r="J203" s="69">
        <v>7118</v>
      </c>
      <c r="K203" s="69">
        <v>7033</v>
      </c>
      <c r="L203" s="69">
        <v>6977</v>
      </c>
      <c r="M203" s="69">
        <v>6956</v>
      </c>
      <c r="N203" s="69">
        <v>6921</v>
      </c>
    </row>
    <row r="204" spans="1:15" s="79" customFormat="1" ht="10" hidden="1" outlineLevel="1">
      <c r="A204" s="68" t="s">
        <v>58</v>
      </c>
      <c r="B204" s="126"/>
      <c r="C204" s="126"/>
      <c r="D204" s="126"/>
      <c r="E204" s="126"/>
      <c r="F204" s="126"/>
      <c r="G204" s="126"/>
      <c r="H204" s="68"/>
      <c r="I204" s="68">
        <v>0</v>
      </c>
      <c r="J204" s="68">
        <v>0</v>
      </c>
      <c r="K204" s="68">
        <v>0</v>
      </c>
      <c r="L204" s="68">
        <v>0</v>
      </c>
      <c r="M204" s="68">
        <v>0</v>
      </c>
      <c r="N204" s="68">
        <v>0</v>
      </c>
    </row>
    <row r="205" spans="1:15" hidden="1" outlineLevel="1">
      <c r="A205" s="130" t="s">
        <v>109</v>
      </c>
      <c r="B205" s="62" t="s">
        <v>110</v>
      </c>
      <c r="C205" s="62" t="str">
        <f>$A$11</f>
        <v>Tabelcorrectiefactor</v>
      </c>
      <c r="D205" s="6"/>
      <c r="E205" s="6"/>
      <c r="F205" s="6"/>
      <c r="G205" s="74">
        <v>7444</v>
      </c>
      <c r="H205" s="74">
        <v>7348</v>
      </c>
      <c r="I205" s="74">
        <v>7232</v>
      </c>
      <c r="J205" s="74">
        <v>7118</v>
      </c>
      <c r="K205" s="74">
        <v>7033</v>
      </c>
      <c r="L205" s="74">
        <v>6977</v>
      </c>
      <c r="M205" s="75">
        <v>6956</v>
      </c>
      <c r="N205" s="75">
        <v>6921</v>
      </c>
    </row>
    <row r="207" spans="1:15" collapsed="1">
      <c r="B207"/>
      <c r="C207"/>
      <c r="D207"/>
      <c r="E207"/>
      <c r="F207"/>
      <c r="G207"/>
      <c r="H207"/>
      <c r="I207"/>
      <c r="J207"/>
      <c r="K207"/>
      <c r="L207"/>
    </row>
    <row r="208" spans="1:15" hidden="1" outlineLevel="1">
      <c r="B208"/>
      <c r="C208"/>
      <c r="D208"/>
      <c r="E208"/>
      <c r="F208"/>
      <c r="G208"/>
      <c r="H208"/>
      <c r="I208"/>
      <c r="J208"/>
      <c r="K208"/>
      <c r="L208"/>
    </row>
    <row r="209" customFormat="1" hidden="1" outlineLevel="1"/>
    <row r="210" customFormat="1" hidden="1" outlineLevel="1"/>
    <row r="211" customFormat="1" hidden="1" outlineLevel="1"/>
    <row r="212" customFormat="1" hidden="1" outlineLevel="1"/>
    <row r="213" customFormat="1" hidden="1" outlineLevel="1"/>
    <row r="214" customFormat="1"/>
    <row r="215" customFormat="1" collapsed="1"/>
    <row r="216" customFormat="1" hidden="1" outlineLevel="1"/>
    <row r="217" customFormat="1" hidden="1" outlineLevel="2"/>
    <row r="218" customFormat="1" hidden="1" outlineLevel="2"/>
    <row r="219" customFormat="1" hidden="1" outlineLevel="1"/>
    <row r="220" customFormat="1" hidden="1" outlineLevel="1"/>
    <row r="221" customFormat="1" hidden="1" outlineLevel="2"/>
    <row r="222" customFormat="1" hidden="1" outlineLevel="2"/>
    <row r="223" customFormat="1" hidden="1" outlineLevel="2"/>
    <row r="224" customFormat="1" hidden="1" outlineLevel="2"/>
    <row r="225" customFormat="1" ht="6" hidden="1" customHeight="1" outlineLevel="2"/>
    <row r="226" customFormat="1" hidden="1" outlineLevel="2"/>
    <row r="227" customFormat="1" hidden="1" outlineLevel="2"/>
    <row r="228" customFormat="1" ht="6" hidden="1" customHeight="1" outlineLevel="2"/>
    <row r="229" customFormat="1" hidden="1" outlineLevel="2"/>
    <row r="230" customFormat="1" hidden="1" outlineLevel="2"/>
    <row r="231" customFormat="1" hidden="1" outlineLevel="2"/>
    <row r="232" customFormat="1" hidden="1" outlineLevel="2"/>
    <row r="233" customFormat="1" hidden="1" outlineLevel="1"/>
    <row r="234" customFormat="1" hidden="1" outlineLevel="1"/>
    <row r="235" customFormat="1" hidden="1" outlineLevel="2"/>
    <row r="236" customFormat="1" hidden="1" outlineLevel="2"/>
    <row r="237" customFormat="1" ht="6" hidden="1" customHeight="1" outlineLevel="2"/>
    <row r="238" customFormat="1" hidden="1" outlineLevel="2"/>
    <row r="239" customFormat="1" hidden="1" outlineLevel="2"/>
    <row r="240" customFormat="1" hidden="1" outlineLevel="2"/>
    <row r="241" customFormat="1" ht="6" hidden="1" customHeight="1" outlineLevel="2"/>
    <row r="242" customFormat="1" hidden="1" outlineLevel="2"/>
    <row r="243" customFormat="1" hidden="1" outlineLevel="2"/>
    <row r="244" customFormat="1" hidden="1" outlineLevel="2"/>
    <row r="245" customFormat="1" ht="6" hidden="1" customHeight="1" outlineLevel="2"/>
    <row r="246" customFormat="1" hidden="1" outlineLevel="2"/>
    <row r="247" customFormat="1" hidden="1" outlineLevel="2"/>
    <row r="248" customFormat="1" hidden="1" outlineLevel="2"/>
    <row r="249" customFormat="1" ht="6" hidden="1" customHeight="1" outlineLevel="2"/>
    <row r="250" customFormat="1" hidden="1" outlineLevel="2"/>
    <row r="251" customFormat="1" hidden="1" outlineLevel="2"/>
    <row r="252" customFormat="1" hidden="1" outlineLevel="2"/>
    <row r="253" customFormat="1" hidden="1" outlineLevel="2"/>
    <row r="254" customFormat="1" hidden="1" outlineLevel="2"/>
    <row r="255" customFormat="1" hidden="1" outlineLevel="2"/>
    <row r="256" customFormat="1" ht="6" hidden="1" customHeight="1" outlineLevel="2"/>
    <row r="257" customFormat="1" hidden="1" outlineLevel="2"/>
    <row r="258" customFormat="1" hidden="1" outlineLevel="2"/>
    <row r="259" customFormat="1" hidden="1" outlineLevel="2"/>
    <row r="260" customFormat="1" hidden="1" outlineLevel="2"/>
    <row r="261" customFormat="1" hidden="1" outlineLevel="2"/>
    <row r="262" customFormat="1" hidden="1" outlineLevel="2"/>
    <row r="263" customFormat="1" ht="6" hidden="1" customHeight="1" outlineLevel="2"/>
    <row r="264" customFormat="1" hidden="1" outlineLevel="2"/>
    <row r="265" customFormat="1" hidden="1" outlineLevel="2"/>
    <row r="266" customFormat="1" hidden="1" outlineLevel="2"/>
    <row r="267" customFormat="1" ht="6" hidden="1" customHeight="1" outlineLevel="2"/>
    <row r="268" customFormat="1" hidden="1" outlineLevel="2"/>
    <row r="269" customFormat="1" hidden="1" outlineLevel="2"/>
    <row r="270" customFormat="1" hidden="1" outlineLevel="2"/>
    <row r="271" customFormat="1" ht="6" hidden="1" customHeight="1" outlineLevel="2"/>
    <row r="272" customFormat="1" hidden="1" outlineLevel="2"/>
    <row r="273" customFormat="1" hidden="1" outlineLevel="2"/>
    <row r="274" customFormat="1" hidden="1" outlineLevel="2"/>
    <row r="275" customFormat="1" hidden="1" outlineLevel="2"/>
    <row r="276" customFormat="1" hidden="1" outlineLevel="2"/>
    <row r="277" customFormat="1" hidden="1" outlineLevel="2"/>
    <row r="278" customFormat="1" hidden="1" outlineLevel="2"/>
    <row r="279" customFormat="1" hidden="1" outlineLevel="2"/>
    <row r="280" customFormat="1" ht="6" hidden="1" customHeight="1" outlineLevel="2"/>
    <row r="281" customFormat="1" hidden="1" outlineLevel="2"/>
    <row r="282" customFormat="1" hidden="1" outlineLevel="2"/>
    <row r="283" customFormat="1" hidden="1" outlineLevel="2"/>
    <row r="284" customFormat="1" hidden="1" outlineLevel="2"/>
    <row r="285" customFormat="1" hidden="1" outlineLevel="1"/>
    <row r="286" customFormat="1" hidden="1" outlineLevel="1"/>
    <row r="287" customFormat="1" hidden="1" outlineLevel="2"/>
    <row r="288" customFormat="1" hidden="1" outlineLevel="2"/>
    <row r="289" customFormat="1" hidden="1" outlineLevel="2"/>
    <row r="290" customFormat="1" hidden="1" outlineLevel="2"/>
    <row r="291" customFormat="1" hidden="1" outlineLevel="2"/>
    <row r="292" customFormat="1" hidden="1" outlineLevel="2"/>
    <row r="293" customFormat="1" hidden="1" outlineLevel="2"/>
    <row r="294" customFormat="1" hidden="1" outlineLevel="2"/>
    <row r="295" customFormat="1" hidden="1" outlineLevel="2"/>
    <row r="296" customFormat="1" hidden="1" outlineLevel="2"/>
    <row r="297" customFormat="1" hidden="1" outlineLevel="2"/>
    <row r="298" customFormat="1" hidden="1" outlineLevel="2"/>
    <row r="299" customFormat="1" hidden="1" outlineLevel="2"/>
    <row r="300" customFormat="1" hidden="1" outlineLevel="2"/>
    <row r="301" customFormat="1" hidden="1" outlineLevel="2"/>
    <row r="302" customFormat="1" hidden="1" outlineLevel="2"/>
    <row r="303" customFormat="1" hidden="1" outlineLevel="2"/>
    <row r="304" customFormat="1" hidden="1" outlineLevel="2"/>
    <row r="305" customFormat="1" hidden="1" outlineLevel="2"/>
    <row r="306" customFormat="1" hidden="1" outlineLevel="2"/>
    <row r="307" customFormat="1" hidden="1" outlineLevel="2"/>
    <row r="308" customFormat="1" hidden="1" outlineLevel="2"/>
    <row r="309" customFormat="1" hidden="1" outlineLevel="2"/>
    <row r="310" customFormat="1" hidden="1" outlineLevel="2"/>
    <row r="311" customFormat="1" hidden="1" outlineLevel="2"/>
    <row r="312" customFormat="1" hidden="1" outlineLevel="2"/>
    <row r="313" customFormat="1" hidden="1" outlineLevel="2"/>
    <row r="314" customFormat="1" hidden="1" outlineLevel="2"/>
    <row r="315" customFormat="1" hidden="1" outlineLevel="2"/>
    <row r="316" customFormat="1" hidden="1" outlineLevel="2"/>
    <row r="317" customFormat="1" hidden="1" outlineLevel="1"/>
    <row r="318" customFormat="1" hidden="1" outlineLevel="1"/>
    <row r="319" customFormat="1" hidden="1" outlineLevel="2"/>
    <row r="320" customFormat="1" hidden="1" outlineLevel="2"/>
    <row r="321" customFormat="1" hidden="1" outlineLevel="2"/>
    <row r="322" customFormat="1" hidden="1" outlineLevel="2"/>
    <row r="323" customFormat="1" hidden="1" outlineLevel="2"/>
    <row r="324" customFormat="1" hidden="1" outlineLevel="2"/>
    <row r="325" customFormat="1" hidden="1" outlineLevel="2"/>
    <row r="326" customFormat="1" hidden="1" outlineLevel="2"/>
    <row r="327" customFormat="1" hidden="1" outlineLevel="2"/>
    <row r="328" customFormat="1" hidden="1" outlineLevel="2"/>
    <row r="329" customFormat="1" hidden="1" outlineLevel="2"/>
    <row r="330" customFormat="1" hidden="1" outlineLevel="2"/>
    <row r="331" customFormat="1" hidden="1" outlineLevel="2"/>
    <row r="332" customFormat="1" hidden="1" outlineLevel="1"/>
    <row r="333" customFormat="1" hidden="1" outlineLevel="1"/>
    <row r="334" customFormat="1" hidden="1" outlineLevel="2"/>
    <row r="335" customFormat="1" hidden="1" outlineLevel="2"/>
    <row r="336" customFormat="1" hidden="1" outlineLevel="2"/>
    <row r="337" customFormat="1" hidden="1" outlineLevel="2"/>
    <row r="338" customFormat="1" hidden="1" outlineLevel="2"/>
    <row r="339" customFormat="1" hidden="1" outlineLevel="2"/>
    <row r="340" customFormat="1" hidden="1" outlineLevel="2"/>
    <row r="341" customFormat="1" hidden="1" outlineLevel="2"/>
    <row r="342" customFormat="1" hidden="1" outlineLevel="2"/>
    <row r="343" customFormat="1" hidden="1" outlineLevel="2"/>
    <row r="344" customFormat="1" hidden="1" outlineLevel="1"/>
    <row r="345" customFormat="1" hidden="1" outlineLevel="1"/>
    <row r="346" customFormat="1" hidden="1" outlineLevel="2"/>
    <row r="347" customFormat="1" hidden="1" outlineLevel="2"/>
    <row r="348" customFormat="1" hidden="1" outlineLevel="2"/>
    <row r="349" customFormat="1" hidden="1" outlineLevel="1"/>
    <row r="350" customFormat="1" hidden="1" outlineLevel="1"/>
    <row r="351" customFormat="1" hidden="1" outlineLevel="2"/>
    <row r="352" customFormat="1" hidden="1" outlineLevel="2"/>
    <row r="353" customFormat="1" ht="6" hidden="1" customHeight="1" outlineLevel="2"/>
    <row r="354" customFormat="1" hidden="1" outlineLevel="2"/>
    <row r="355" customFormat="1" hidden="1" outlineLevel="2"/>
    <row r="356" customFormat="1" hidden="1" outlineLevel="2"/>
    <row r="357" customFormat="1" hidden="1" outlineLevel="1"/>
    <row r="358" customFormat="1" hidden="1" outlineLevel="1"/>
    <row r="359" customFormat="1" hidden="1" outlineLevel="2"/>
    <row r="360" customFormat="1" hidden="1" outlineLevel="2"/>
    <row r="361" customFormat="1" hidden="1" outlineLevel="2"/>
    <row r="362" customFormat="1"/>
    <row r="363" customFormat="1" collapsed="1"/>
    <row r="364" customFormat="1" hidden="1" outlineLevel="1"/>
    <row r="365" customFormat="1" hidden="1" outlineLevel="1"/>
    <row r="366" customFormat="1" hidden="1" outlineLevel="1"/>
    <row r="367" customFormat="1" hidden="1" outlineLevel="1"/>
    <row r="368" customFormat="1" hidden="1" outlineLevel="1"/>
    <row r="369" customFormat="1"/>
    <row r="370" customFormat="1" collapsed="1"/>
    <row r="371" customFormat="1" hidden="1" outlineLevel="1"/>
    <row r="372" customFormat="1" hidden="1" outlineLevel="2"/>
    <row r="373" customFormat="1" hidden="1" outlineLevel="2"/>
    <row r="374" customFormat="1" hidden="1" outlineLevel="2"/>
    <row r="375" customFormat="1" hidden="1" outlineLevel="2"/>
    <row r="376" customFormat="1" hidden="1" outlineLevel="2"/>
    <row r="377" customFormat="1" hidden="1" outlineLevel="2"/>
    <row r="378" customFormat="1" hidden="1" outlineLevel="2"/>
    <row r="379" customFormat="1" hidden="1" outlineLevel="2"/>
    <row r="380" customFormat="1" hidden="1" outlineLevel="2"/>
    <row r="381" customFormat="1" hidden="1" outlineLevel="2"/>
    <row r="382" customFormat="1" hidden="1" outlineLevel="2"/>
    <row r="383" customFormat="1" ht="6" hidden="1" customHeight="1" outlineLevel="2"/>
    <row r="384" customFormat="1" hidden="1" outlineLevel="2"/>
    <row r="385" customFormat="1" hidden="1" outlineLevel="1"/>
    <row r="386" customFormat="1" hidden="1" outlineLevel="1"/>
    <row r="387" customFormat="1" hidden="1" outlineLevel="2"/>
    <row r="388" customFormat="1" hidden="1" outlineLevel="2"/>
    <row r="389" customFormat="1" hidden="1" outlineLevel="2"/>
    <row r="390" customFormat="1" ht="6" hidden="1" customHeight="1" outlineLevel="2"/>
    <row r="391" customFormat="1" hidden="1" outlineLevel="2"/>
    <row r="392" customFormat="1" hidden="1" outlineLevel="2"/>
    <row r="393" customFormat="1" hidden="1" outlineLevel="2"/>
    <row r="394" customFormat="1" ht="6" hidden="1" customHeight="1" outlineLevel="2"/>
    <row r="395" customFormat="1" hidden="1" outlineLevel="2"/>
    <row r="396" customFormat="1" hidden="1" outlineLevel="2"/>
    <row r="397" customFormat="1" hidden="1" outlineLevel="2"/>
    <row r="398" customFormat="1" ht="6" hidden="1" customHeight="1" outlineLevel="2"/>
    <row r="399" customFormat="1" hidden="1" outlineLevel="2"/>
    <row r="400" customFormat="1" hidden="1" outlineLevel="2"/>
    <row r="401" customFormat="1" hidden="1" outlineLevel="2"/>
    <row r="402" customFormat="1" ht="6" hidden="1" customHeight="1" outlineLevel="2"/>
    <row r="403" customFormat="1" hidden="1" outlineLevel="2"/>
    <row r="404" customFormat="1" hidden="1" outlineLevel="2"/>
    <row r="405" customFormat="1" hidden="1" outlineLevel="2"/>
    <row r="406" customFormat="1" ht="6" hidden="1" customHeight="1" outlineLevel="2"/>
    <row r="407" customFormat="1" hidden="1" outlineLevel="2"/>
    <row r="408" customFormat="1" hidden="1" outlineLevel="2"/>
    <row r="409" customFormat="1" hidden="1" outlineLevel="2"/>
    <row r="410" customFormat="1" ht="6" hidden="1" customHeight="1" outlineLevel="2"/>
    <row r="411" customFormat="1" hidden="1" outlineLevel="2"/>
    <row r="412" customFormat="1" hidden="1" outlineLevel="2"/>
    <row r="413" customFormat="1" hidden="1" outlineLevel="2"/>
    <row r="414" customFormat="1" hidden="1" outlineLevel="2"/>
    <row r="415" customFormat="1" ht="5.15" hidden="1" customHeight="1" outlineLevel="2"/>
    <row r="416" customFormat="1" hidden="1" outlineLevel="2"/>
    <row r="417" customFormat="1" hidden="1" outlineLevel="2"/>
    <row r="418" customFormat="1" hidden="1" outlineLevel="2"/>
    <row r="419" customFormat="1" hidden="1" outlineLevel="2"/>
    <row r="420" customFormat="1" ht="5.15" hidden="1" customHeight="1" outlineLevel="2"/>
    <row r="421" customFormat="1" hidden="1" outlineLevel="2"/>
    <row r="422" customFormat="1" ht="5.15" hidden="1" customHeight="1" outlineLevel="2"/>
    <row r="423" customFormat="1" hidden="1" outlineLevel="2"/>
    <row r="424" customFormat="1" hidden="1" outlineLevel="2"/>
    <row r="425" customFormat="1" hidden="1" outlineLevel="2"/>
    <row r="426" customFormat="1" hidden="1" outlineLevel="2"/>
    <row r="427" customFormat="1" ht="5.15" hidden="1" customHeight="1" outlineLevel="2"/>
    <row r="428" customFormat="1" hidden="1" outlineLevel="2"/>
    <row r="429" customFormat="1" hidden="1" outlineLevel="2"/>
    <row r="430" customFormat="1" hidden="1" outlineLevel="2"/>
    <row r="431" customFormat="1" hidden="1" outlineLevel="2"/>
    <row r="432" customFormat="1" ht="5.15" hidden="1" customHeight="1" outlineLevel="2"/>
    <row r="433" customFormat="1" hidden="1" outlineLevel="2"/>
    <row r="434" customFormat="1" hidden="1" outlineLevel="2"/>
    <row r="435" customFormat="1" hidden="1" outlineLevel="2"/>
    <row r="436" customFormat="1" ht="5.15" hidden="1" customHeight="1" outlineLevel="2"/>
    <row r="437" customFormat="1" hidden="1" outlineLevel="2"/>
    <row r="438" customFormat="1" hidden="1" outlineLevel="2"/>
    <row r="439" customFormat="1" hidden="1" outlineLevel="2"/>
    <row r="440" customFormat="1" ht="5.15" hidden="1" customHeight="1" outlineLevel="2"/>
    <row r="441" customFormat="1" hidden="1" outlineLevel="2"/>
    <row r="442" customFormat="1" hidden="1" outlineLevel="2"/>
    <row r="443" customFormat="1" hidden="1" outlineLevel="2"/>
    <row r="444" customFormat="1" hidden="1" outlineLevel="2"/>
    <row r="445" customFormat="1" hidden="1" outlineLevel="2"/>
    <row r="446" customFormat="1" ht="5.15" hidden="1" customHeight="1" outlineLevel="2"/>
    <row r="447" customFormat="1" hidden="1" outlineLevel="2"/>
    <row r="448" customFormat="1" hidden="1" outlineLevel="2"/>
    <row r="449" customFormat="1" hidden="1" outlineLevel="2"/>
    <row r="450" customFormat="1" ht="5.15" hidden="1" customHeight="1" outlineLevel="2"/>
    <row r="451" customFormat="1" hidden="1" outlineLevel="2"/>
    <row r="452" customFormat="1" hidden="1" outlineLevel="2"/>
    <row r="453" customFormat="1" hidden="1" outlineLevel="2"/>
    <row r="454" customFormat="1" ht="5.15" hidden="1" customHeight="1" outlineLevel="2"/>
    <row r="455" customFormat="1" hidden="1" outlineLevel="2"/>
    <row r="456" customFormat="1" hidden="1" outlineLevel="2"/>
    <row r="457" customFormat="1" hidden="1" outlineLevel="2"/>
    <row r="458" customFormat="1" ht="5.15" hidden="1" customHeight="1" outlineLevel="2"/>
    <row r="459" customFormat="1" hidden="1" outlineLevel="2"/>
    <row r="460" customFormat="1" hidden="1" outlineLevel="2"/>
    <row r="461" customFormat="1" hidden="1" outlineLevel="2"/>
    <row r="462" customFormat="1" ht="5.15" hidden="1" customHeight="1" outlineLevel="2"/>
    <row r="463" customFormat="1" hidden="1" outlineLevel="2"/>
    <row r="464" customFormat="1" hidden="1" outlineLevel="2"/>
    <row r="465" customFormat="1" ht="5.15" hidden="1" customHeight="1" outlineLevel="2"/>
    <row r="466" customFormat="1" hidden="1" outlineLevel="2"/>
    <row r="467" customFormat="1" hidden="1" outlineLevel="2"/>
    <row r="468" customFormat="1" hidden="1" outlineLevel="2"/>
    <row r="469" customFormat="1" hidden="1" outlineLevel="2"/>
    <row r="470" customFormat="1" hidden="1" outlineLevel="2"/>
    <row r="471" customFormat="1" hidden="1" outlineLevel="2"/>
    <row r="472" customFormat="1" hidden="1" outlineLevel="2"/>
    <row r="473" customFormat="1" ht="5.15" hidden="1" customHeight="1" outlineLevel="2"/>
    <row r="474" customFormat="1" hidden="1" outlineLevel="2"/>
    <row r="475" customFormat="1" hidden="1" outlineLevel="2"/>
    <row r="476" customFormat="1" hidden="1" outlineLevel="2"/>
    <row r="477" customFormat="1" hidden="1" outlineLevel="2"/>
    <row r="478" customFormat="1" hidden="1" outlineLevel="2"/>
    <row r="479" customFormat="1" hidden="1" outlineLevel="2"/>
    <row r="480" customFormat="1" hidden="1" outlineLevel="2"/>
    <row r="481" customFormat="1" hidden="1" outlineLevel="2"/>
    <row r="482" customFormat="1" hidden="1" outlineLevel="2"/>
    <row r="483" customFormat="1" ht="5.15" hidden="1" customHeight="1" outlineLevel="2"/>
    <row r="484" customFormat="1" hidden="1" outlineLevel="2"/>
    <row r="485" customFormat="1" hidden="1" outlineLevel="2"/>
    <row r="486" customFormat="1" hidden="1" outlineLevel="2"/>
    <row r="487" customFormat="1" hidden="1" outlineLevel="2"/>
    <row r="488" customFormat="1" hidden="1" outlineLevel="2"/>
    <row r="489" customFormat="1" hidden="1" outlineLevel="2"/>
    <row r="490" customFormat="1" hidden="1" outlineLevel="2"/>
    <row r="491" customFormat="1" hidden="1" outlineLevel="2"/>
    <row r="492" customFormat="1" hidden="1" outlineLevel="2"/>
    <row r="493" customFormat="1" ht="5.15" hidden="1" customHeight="1" outlineLevel="2"/>
    <row r="494" customFormat="1" hidden="1" outlineLevel="2"/>
    <row r="495" customFormat="1" hidden="1" outlineLevel="2"/>
    <row r="496" customFormat="1"/>
    <row r="497" customFormat="1" collapsed="1"/>
    <row r="498" customFormat="1" hidden="1" outlineLevel="1"/>
    <row r="499" customFormat="1" hidden="1" outlineLevel="1"/>
    <row r="500" customFormat="1" ht="5.15" hidden="1" customHeight="1" outlineLevel="1"/>
    <row r="501" customFormat="1" hidden="1" outlineLevel="1"/>
    <row r="502" customFormat="1" hidden="1" outlineLevel="1"/>
    <row r="503" customFormat="1" hidden="1" outlineLevel="1"/>
    <row r="504" customFormat="1" ht="5.15" hidden="1" customHeight="1" outlineLevel="1"/>
    <row r="505" customFormat="1" hidden="1" outlineLevel="1"/>
    <row r="506" customFormat="1" hidden="1" outlineLevel="1"/>
    <row r="507" customFormat="1" hidden="1" outlineLevel="1"/>
    <row r="508" customFormat="1"/>
  </sheetData>
  <hyperlinks>
    <hyperlink ref="B140" r:id="rId1" location="/CBS/nl/dataset/83906NED/table?dl=7C1D" display="https://opendata.cbs.nl/statline/#/CBS/nl/dataset/83906NED/table?dl=7C1D" xr:uid="{00000000-0004-0000-0100-000000000000}"/>
    <hyperlink ref="B147" r:id="rId2" display="https://app2.msci.com/products/indexes/performance/regional_chart.html?asOf=Dec%2031,%202018&amp;size=36&amp;scope=R&amp;style=C&amp;currency=119&amp;priceLevel=40&amp;indexId=110#" xr:uid="{00000000-0004-0000-0100-000001000000}"/>
    <hyperlink ref="B154" r:id="rId3" location="/details/marktrentevoeten-kwartaal/dataset/6ea11dac-b01b-4d35-97ed-97b6ee683c6e/resource/9e20e82d-3d32-4397-803e-88431257db3b" display="https://statistiek.dnb.nl/downloads/index.aspx#/details/marktrentevoeten-kwartaal/dataset/6ea11dac-b01b-4d35-97ed-97b6ee683c6e/resource/9e20e82d-3d32-4397-803e-88431257db3b" xr:uid="{00000000-0004-0000-0100-000002000000}"/>
  </hyperlinks>
  <pageMargins left="0.7" right="0.7" top="0.75" bottom="0.75" header="0.3" footer="0.3"/>
  <pageSetup paperSize="9" orientation="portrait"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Main</vt:lpstr>
      <vt:lpst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RAB</dc:creator>
  <cp:lastModifiedBy>RAB</cp:lastModifiedBy>
  <dcterms:created xsi:type="dcterms:W3CDTF">2022-10-26T09:12:03Z</dcterms:created>
  <dcterms:modified xsi:type="dcterms:W3CDTF">2022-11-10T23:57:29Z</dcterms:modified>
</cp:coreProperties>
</file>